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22995" windowHeight="9735" firstSheet="2" activeTab="3"/>
  </bookViews>
  <sheets>
    <sheet name="Мира 39" sheetId="1" r:id="rId1"/>
    <sheet name="Мира 39 расшифр" sheetId="2" r:id="rId2"/>
    <sheet name="К.М.16" sheetId="3" r:id="rId3"/>
    <sheet name="К.М.16 расшифр" sheetId="4" r:id="rId4"/>
    <sheet name="К.М.18" sheetId="5" r:id="rId5"/>
    <sheet name="К.М.18 расшифр" sheetId="6" r:id="rId6"/>
    <sheet name="К.М.20" sheetId="7" r:id="rId7"/>
    <sheet name="К.М.20 расшифр" sheetId="8" r:id="rId8"/>
    <sheet name="К.М.21" sheetId="9" r:id="rId9"/>
    <sheet name="К.М.21 расшифр" sheetId="10" r:id="rId10"/>
    <sheet name="21 пс" sheetId="11" r:id="rId11"/>
    <sheet name="21 пс расшифр" sheetId="12" r:id="rId12"/>
    <sheet name="К.М.26" sheetId="13" r:id="rId13"/>
  </sheets>
  <calcPr calcId="144525" calcOnSave="0"/>
</workbook>
</file>

<file path=xl/calcChain.xml><?xml version="1.0" encoding="utf-8"?>
<calcChain xmlns="http://schemas.openxmlformats.org/spreadsheetml/2006/main">
  <c r="F7" i="5" l="1"/>
  <c r="D41" i="6"/>
  <c r="D34" i="6"/>
  <c r="D75" i="4" l="1"/>
  <c r="D72" i="4"/>
  <c r="D73" i="4"/>
  <c r="D74" i="4"/>
  <c r="D70" i="4"/>
  <c r="D69" i="4"/>
  <c r="D68" i="4"/>
  <c r="D62" i="4"/>
  <c r="D60" i="4"/>
  <c r="F6" i="3"/>
  <c r="F4" i="3"/>
  <c r="D61" i="4" l="1"/>
  <c r="D65" i="4" s="1"/>
  <c r="D59" i="4" s="1"/>
  <c r="D64" i="4"/>
  <c r="G12" i="11"/>
  <c r="F12" i="11"/>
  <c r="E12" i="11"/>
  <c r="D12" i="11"/>
  <c r="G9" i="13"/>
  <c r="F8" i="13"/>
  <c r="F6" i="13"/>
  <c r="B9" i="13"/>
  <c r="D171" i="12" l="1"/>
  <c r="D172" i="12" s="1"/>
  <c r="D167" i="12"/>
  <c r="D168" i="12" s="1"/>
  <c r="D165" i="12"/>
  <c r="D164" i="12"/>
  <c r="D163" i="12"/>
  <c r="D173" i="12" l="1"/>
  <c r="D169" i="12"/>
  <c r="D174" i="12" s="1"/>
  <c r="D66" i="10"/>
  <c r="D4" i="10" l="1"/>
  <c r="D63" i="10"/>
  <c r="D64" i="10" s="1"/>
  <c r="D65" i="10" s="1"/>
  <c r="D60" i="10"/>
  <c r="D59" i="10"/>
  <c r="D61" i="10" s="1"/>
  <c r="D70" i="8"/>
  <c r="D71" i="8" s="1"/>
  <c r="D66" i="8"/>
  <c r="D67" i="8"/>
  <c r="D68" i="8" l="1"/>
  <c r="D72" i="8"/>
  <c r="D67" i="6"/>
  <c r="D66" i="6"/>
  <c r="D68" i="6" s="1"/>
  <c r="D62" i="6"/>
  <c r="D63" i="6" s="1"/>
  <c r="D58" i="6"/>
  <c r="D59" i="6" s="1"/>
  <c r="D54" i="6"/>
  <c r="D55" i="6" s="1"/>
  <c r="D52" i="6"/>
  <c r="D51" i="6"/>
  <c r="D50" i="6"/>
  <c r="D64" i="6" l="1"/>
  <c r="D60" i="6"/>
  <c r="D56" i="6"/>
  <c r="D88" i="2"/>
  <c r="D84" i="2"/>
  <c r="D83" i="2"/>
  <c r="D82" i="2"/>
  <c r="D80" i="2"/>
  <c r="D79" i="2"/>
  <c r="D78" i="2"/>
  <c r="D76" i="2"/>
  <c r="D75" i="2"/>
  <c r="D74" i="2"/>
  <c r="D4" i="12" l="1"/>
  <c r="D154" i="12"/>
  <c r="D160" i="12"/>
  <c r="D159" i="12"/>
  <c r="D157" i="12"/>
  <c r="D156" i="12"/>
  <c r="D155" i="12"/>
  <c r="D144" i="12"/>
  <c r="D153" i="12"/>
  <c r="D152" i="12"/>
  <c r="D147" i="12"/>
  <c r="D146" i="12" l="1"/>
  <c r="D145" i="12"/>
  <c r="D137" i="12"/>
  <c r="D140" i="12"/>
  <c r="D138" i="12"/>
  <c r="D142" i="12" s="1"/>
  <c r="D127" i="12"/>
  <c r="D136" i="12"/>
  <c r="D135" i="12"/>
  <c r="D130" i="12"/>
  <c r="D129" i="12"/>
  <c r="D128" i="12"/>
  <c r="D120" i="12"/>
  <c r="D125" i="12"/>
  <c r="D126" i="12" s="1"/>
  <c r="D123" i="12"/>
  <c r="D122" i="12"/>
  <c r="D121" i="12"/>
  <c r="D113" i="12"/>
  <c r="D119" i="12"/>
  <c r="D118" i="12"/>
  <c r="D116" i="12"/>
  <c r="D115" i="12"/>
  <c r="D114" i="12"/>
  <c r="D106" i="12"/>
  <c r="D112" i="12"/>
  <c r="D111" i="12"/>
  <c r="D109" i="12"/>
  <c r="D108" i="12"/>
  <c r="D107" i="12"/>
  <c r="D99" i="12"/>
  <c r="D105" i="12"/>
  <c r="D104" i="12"/>
  <c r="D102" i="12"/>
  <c r="D101" i="12"/>
  <c r="D100" i="12"/>
  <c r="D92" i="12"/>
  <c r="D98" i="12"/>
  <c r="D97" i="12"/>
  <c r="D95" i="12"/>
  <c r="D94" i="12"/>
  <c r="D93" i="12"/>
  <c r="D83" i="12"/>
  <c r="D75" i="12"/>
  <c r="D91" i="12"/>
  <c r="D90" i="12"/>
  <c r="D86" i="12"/>
  <c r="D85" i="12"/>
  <c r="D84" i="12"/>
  <c r="D82" i="12"/>
  <c r="D81" i="12"/>
  <c r="D78" i="12"/>
  <c r="D77" i="12"/>
  <c r="D76" i="12"/>
  <c r="D70" i="12"/>
  <c r="D74" i="12"/>
  <c r="D73" i="12"/>
  <c r="D72" i="12"/>
  <c r="D71" i="12"/>
  <c r="D61" i="12"/>
  <c r="D69" i="12"/>
  <c r="D68" i="12"/>
  <c r="D64" i="12"/>
  <c r="D63" i="12"/>
  <c r="D62" i="12"/>
  <c r="D52" i="12"/>
  <c r="D60" i="12"/>
  <c r="D59" i="12"/>
  <c r="D55" i="12"/>
  <c r="D54" i="12"/>
  <c r="D53" i="12"/>
  <c r="D143" i="12" l="1"/>
  <c r="D139" i="12"/>
  <c r="D51" i="12" l="1"/>
  <c r="D50" i="12"/>
  <c r="D47" i="12"/>
  <c r="D46" i="12"/>
  <c r="D44" i="12"/>
  <c r="D45" i="12"/>
  <c r="D39" i="12"/>
  <c r="D31" i="12"/>
  <c r="D26" i="12"/>
  <c r="D24" i="12"/>
  <c r="D16" i="12"/>
  <c r="D14" i="12"/>
  <c r="D21" i="12" s="1"/>
  <c r="D8" i="12"/>
  <c r="D6" i="12" l="1"/>
  <c r="D11" i="12" l="1"/>
  <c r="D37" i="12"/>
  <c r="D29" i="12"/>
  <c r="F5" i="11"/>
  <c r="D34" i="12" l="1"/>
  <c r="D42" i="12"/>
  <c r="D7" i="12"/>
  <c r="D15" i="12"/>
  <c r="D25" i="12"/>
  <c r="D30" i="12"/>
  <c r="D35" i="12" s="1"/>
  <c r="D38" i="12"/>
  <c r="D43" i="12" s="1"/>
  <c r="D28" i="12" l="1"/>
  <c r="D23" i="12"/>
  <c r="D27" i="12"/>
  <c r="D36" i="12"/>
  <c r="D12" i="12"/>
  <c r="D5" i="12" s="1"/>
  <c r="D22" i="12"/>
  <c r="D13" i="12" s="1"/>
  <c r="F10" i="11" l="1"/>
  <c r="F9" i="11"/>
  <c r="F7" i="11"/>
  <c r="D52" i="10"/>
  <c r="D56" i="10"/>
  <c r="D55" i="10"/>
  <c r="D54" i="10"/>
  <c r="D53" i="10"/>
  <c r="D45" i="10"/>
  <c r="D51" i="10"/>
  <c r="D50" i="10"/>
  <c r="D48" i="10" l="1"/>
  <c r="D47" i="10"/>
  <c r="D46" i="10"/>
  <c r="D38" i="10"/>
  <c r="D44" i="10"/>
  <c r="D43" i="10"/>
  <c r="D41" i="10"/>
  <c r="D40" i="10"/>
  <c r="D39" i="10"/>
  <c r="F6" i="9"/>
  <c r="F4" i="9"/>
  <c r="F13" i="7"/>
  <c r="F7" i="7"/>
  <c r="F5" i="7"/>
  <c r="D4" i="6"/>
  <c r="D69" i="6" s="1"/>
  <c r="D44" i="6"/>
  <c r="D42" i="6"/>
  <c r="D46" i="6" s="1"/>
  <c r="D40" i="6"/>
  <c r="D39" i="6"/>
  <c r="D37" i="6"/>
  <c r="D36" i="6"/>
  <c r="D35" i="6"/>
  <c r="F5" i="5"/>
  <c r="D43" i="6" l="1"/>
  <c r="D2" i="2"/>
  <c r="D58" i="2"/>
  <c r="D68" i="2"/>
  <c r="D47" i="6" l="1"/>
  <c r="D71" i="2"/>
  <c r="D65" i="2" s="1"/>
  <c r="D70" i="2"/>
  <c r="D67" i="2"/>
  <c r="D66" i="2"/>
  <c r="D64" i="2"/>
  <c r="D60" i="2"/>
  <c r="D63" i="2"/>
  <c r="D61" i="2"/>
  <c r="D59" i="2"/>
  <c r="D41" i="2"/>
  <c r="D57" i="2"/>
  <c r="D56" i="2"/>
  <c r="D44" i="2"/>
  <c r="D43" i="2"/>
  <c r="D42" i="2"/>
  <c r="F7" i="1"/>
  <c r="F5" i="1"/>
  <c r="E13" i="1"/>
  <c r="F9" i="9" l="1"/>
  <c r="F8" i="9"/>
  <c r="C12" i="3" l="1"/>
  <c r="D13" i="1"/>
  <c r="C13" i="1"/>
  <c r="D24" i="2" l="1"/>
  <c r="D21" i="10" l="1"/>
  <c r="D37" i="10"/>
  <c r="D36" i="10"/>
  <c r="D24" i="10"/>
  <c r="D23" i="10"/>
  <c r="D22" i="10"/>
  <c r="D12" i="10"/>
  <c r="D20" i="10"/>
  <c r="D19" i="10"/>
  <c r="D15" i="10"/>
  <c r="D14" i="10"/>
  <c r="D13" i="10"/>
  <c r="D5" i="10"/>
  <c r="D11" i="10"/>
  <c r="D10" i="10"/>
  <c r="D8" i="10"/>
  <c r="D7" i="10"/>
  <c r="D6" i="10"/>
  <c r="F12" i="9" l="1"/>
  <c r="E12" i="9"/>
  <c r="D12" i="9"/>
  <c r="G12" i="9" l="1"/>
  <c r="D58" i="8"/>
  <c r="D56" i="8"/>
  <c r="D50" i="8"/>
  <c r="D48" i="8"/>
  <c r="D53" i="8" s="1"/>
  <c r="D43" i="8"/>
  <c r="D44" i="8" s="1"/>
  <c r="D38" i="8"/>
  <c r="D36" i="8"/>
  <c r="D31" i="8"/>
  <c r="D29" i="8"/>
  <c r="D20" i="8"/>
  <c r="D18" i="8"/>
  <c r="D26" i="8" s="1"/>
  <c r="D8" i="8"/>
  <c r="D6" i="8"/>
  <c r="F10" i="7"/>
  <c r="F9" i="7"/>
  <c r="E13" i="7"/>
  <c r="D13" i="7"/>
  <c r="D46" i="8" l="1"/>
  <c r="D19" i="8"/>
  <c r="D30" i="8"/>
  <c r="D33" i="8"/>
  <c r="D37" i="8"/>
  <c r="D40" i="8"/>
  <c r="D17" i="8"/>
  <c r="D27" i="8"/>
  <c r="D45" i="8"/>
  <c r="D42" i="8" s="1"/>
  <c r="D49" i="8"/>
  <c r="D54" i="8"/>
  <c r="D47" i="8" s="1"/>
  <c r="D57" i="8"/>
  <c r="D62" i="8"/>
  <c r="D7" i="8"/>
  <c r="D15" i="8"/>
  <c r="D16" i="8" s="1"/>
  <c r="G13" i="7"/>
  <c r="D26" i="6"/>
  <c r="D29" i="6"/>
  <c r="D33" i="6" s="1"/>
  <c r="D32" i="6"/>
  <c r="D28" i="6"/>
  <c r="D27" i="6"/>
  <c r="D19" i="6"/>
  <c r="D25" i="6"/>
  <c r="D24" i="6"/>
  <c r="D22" i="6"/>
  <c r="D21" i="6"/>
  <c r="D20" i="6"/>
  <c r="D12" i="6"/>
  <c r="D18" i="6"/>
  <c r="D17" i="6"/>
  <c r="D15" i="6"/>
  <c r="D14" i="6"/>
  <c r="D13" i="6"/>
  <c r="D5" i="6"/>
  <c r="D8" i="6"/>
  <c r="D11" i="6" s="1"/>
  <c r="D10" i="6"/>
  <c r="D7" i="6"/>
  <c r="D6" i="6"/>
  <c r="D35" i="8" l="1"/>
  <c r="D34" i="8"/>
  <c r="D28" i="8" s="1"/>
  <c r="D5" i="8"/>
  <c r="D63" i="8"/>
  <c r="D55" i="8" s="1"/>
  <c r="D41" i="8"/>
  <c r="E13" i="5"/>
  <c r="F10" i="5"/>
  <c r="F9" i="5"/>
  <c r="D13" i="5"/>
  <c r="E12" i="3"/>
  <c r="D55" i="4"/>
  <c r="D54" i="4"/>
  <c r="D53" i="4"/>
  <c r="D38" i="4"/>
  <c r="D36" i="4"/>
  <c r="D31" i="4"/>
  <c r="D29" i="4"/>
  <c r="D26" i="4"/>
  <c r="D24" i="4"/>
  <c r="D27" i="4" s="1"/>
  <c r="D17" i="4"/>
  <c r="D16" i="4"/>
  <c r="D8" i="4"/>
  <c r="D3" i="2"/>
  <c r="D11" i="2"/>
  <c r="D25" i="2"/>
  <c r="D6" i="2"/>
  <c r="D10" i="2" s="1"/>
  <c r="D22" i="2"/>
  <c r="D13" i="2"/>
  <c r="D9" i="2"/>
  <c r="D5" i="2"/>
  <c r="D6" i="4"/>
  <c r="F9" i="3"/>
  <c r="F8" i="3"/>
  <c r="D12" i="3"/>
  <c r="D39" i="2"/>
  <c r="D40" i="2" s="1"/>
  <c r="D26" i="2"/>
  <c r="D14" i="2"/>
  <c r="D21" i="2"/>
  <c r="D12" i="2"/>
  <c r="D4" i="2"/>
  <c r="F9" i="1"/>
  <c r="F13" i="1" s="1"/>
  <c r="G13" i="1" s="1"/>
  <c r="D4" i="8" l="1"/>
  <c r="D73" i="8" s="1"/>
  <c r="D20" i="4"/>
  <c r="D22" i="4"/>
  <c r="D30" i="4"/>
  <c r="D34" i="4" s="1"/>
  <c r="D33" i="4"/>
  <c r="D37" i="4"/>
  <c r="D51" i="4" s="1"/>
  <c r="D35" i="4" s="1"/>
  <c r="D50" i="4"/>
  <c r="D7" i="4"/>
  <c r="D13" i="4"/>
  <c r="D57" i="4"/>
  <c r="F12" i="3"/>
  <c r="G12" i="3" s="1"/>
  <c r="F13" i="5"/>
  <c r="G13" i="5" s="1"/>
  <c r="D23" i="2"/>
  <c r="D28" i="4" l="1"/>
  <c r="D58" i="4"/>
  <c r="D52" i="4" s="1"/>
  <c r="D21" i="4"/>
  <c r="D15" i="4" s="1"/>
  <c r="D14" i="4"/>
  <c r="D5" i="4" s="1"/>
  <c r="D4" i="4" s="1"/>
</calcChain>
</file>

<file path=xl/sharedStrings.xml><?xml version="1.0" encoding="utf-8"?>
<sst xmlns="http://schemas.openxmlformats.org/spreadsheetml/2006/main" count="952" uniqueCount="324">
  <si>
    <t>S дома, м2</t>
  </si>
  <si>
    <t>Сальдо на 31.12.2016</t>
  </si>
  <si>
    <t>Техобслуживание, руб.</t>
  </si>
  <si>
    <t>Текущий ремонт, руб.</t>
  </si>
  <si>
    <t>Административные расходы, руб.</t>
  </si>
  <si>
    <t>Содержание</t>
  </si>
  <si>
    <t>МОП вода</t>
  </si>
  <si>
    <t>Услуги предоставленные ООО Трайтек</t>
  </si>
  <si>
    <t>ИП Щербинин</t>
  </si>
  <si>
    <t>Перечисление от  ООО "Плазма"</t>
  </si>
  <si>
    <t>Итого:</t>
  </si>
  <si>
    <t>Ремонт инженерных коммуникаций</t>
  </si>
  <si>
    <t>1.1.</t>
  </si>
  <si>
    <t>Ремонт отопления на чердаке</t>
  </si>
  <si>
    <t>з/п</t>
  </si>
  <si>
    <t xml:space="preserve">материалы </t>
  </si>
  <si>
    <t>Обжим 3/4</t>
  </si>
  <si>
    <t>1 шт</t>
  </si>
  <si>
    <t>8 час</t>
  </si>
  <si>
    <t xml:space="preserve">з/п </t>
  </si>
  <si>
    <t>кран шаровый 3/4</t>
  </si>
  <si>
    <t>Накладные расходы 42,1%</t>
  </si>
  <si>
    <t>Рентабельность 15%</t>
  </si>
  <si>
    <t>1.2.</t>
  </si>
  <si>
    <t>12 час</t>
  </si>
  <si>
    <t>материалы</t>
  </si>
  <si>
    <t xml:space="preserve">Отвод ПВХ 110х45 </t>
  </si>
  <si>
    <t>7 шт</t>
  </si>
  <si>
    <t xml:space="preserve">манжета 123х110 </t>
  </si>
  <si>
    <t>3 шт</t>
  </si>
  <si>
    <t xml:space="preserve">труба 110 </t>
  </si>
  <si>
    <t xml:space="preserve">ревизия 110 </t>
  </si>
  <si>
    <t xml:space="preserve">рюмка </t>
  </si>
  <si>
    <t>соединение 110</t>
  </si>
  <si>
    <t>1.3.</t>
  </si>
  <si>
    <t>Частичная замена лежака отопления в подвале</t>
  </si>
  <si>
    <t xml:space="preserve">Муфта разборная 32х40мм </t>
  </si>
  <si>
    <t>труба РР 40мм</t>
  </si>
  <si>
    <t>20м</t>
  </si>
  <si>
    <t>тройник РР 40х25х40</t>
  </si>
  <si>
    <t>6 шт.</t>
  </si>
  <si>
    <t>переход РР 40х25</t>
  </si>
  <si>
    <t>1 шт.</t>
  </si>
  <si>
    <t>труба РР 25мм</t>
  </si>
  <si>
    <t>34 м</t>
  </si>
  <si>
    <t>тройник РР</t>
  </si>
  <si>
    <t>12 шт</t>
  </si>
  <si>
    <t>угол РР 40ммх90*</t>
  </si>
  <si>
    <t>2 шт</t>
  </si>
  <si>
    <t>угол РР 25х90*</t>
  </si>
  <si>
    <t>10 шт</t>
  </si>
  <si>
    <t>угол РР 25х45*</t>
  </si>
  <si>
    <t>20 шт</t>
  </si>
  <si>
    <t>кран РР 25мм-</t>
  </si>
  <si>
    <t>11 шт</t>
  </si>
  <si>
    <t>муфта 20</t>
  </si>
  <si>
    <t xml:space="preserve"> 2 шт</t>
  </si>
  <si>
    <t>муфта 40</t>
  </si>
  <si>
    <t>Текущий ремон, руб.т</t>
  </si>
  <si>
    <t>МОП э/э</t>
  </si>
  <si>
    <t>Всего:</t>
  </si>
  <si>
    <t>Ремонт системы отопления в подвале</t>
  </si>
  <si>
    <t>24 час.</t>
  </si>
  <si>
    <t>Начисления на з/п 30,3%</t>
  </si>
  <si>
    <t xml:space="preserve">      кран 1/2 </t>
  </si>
  <si>
    <t>2шт</t>
  </si>
  <si>
    <t xml:space="preserve">      кран 3/4</t>
  </si>
  <si>
    <t xml:space="preserve">      бинт марлевый </t>
  </si>
  <si>
    <t>1м</t>
  </si>
  <si>
    <t xml:space="preserve">     холодная сварка</t>
  </si>
  <si>
    <t>Материалы</t>
  </si>
  <si>
    <t>Накладные расходы 42,1 %</t>
  </si>
  <si>
    <t>1 час</t>
  </si>
  <si>
    <t xml:space="preserve">    трубка утеплитель </t>
  </si>
  <si>
    <t>2м</t>
  </si>
  <si>
    <t>Ремонт системы отопления подвал(авария)</t>
  </si>
  <si>
    <t>15 час.</t>
  </si>
  <si>
    <t>газосварка</t>
  </si>
  <si>
    <t>Замена подъездных светильников</t>
  </si>
  <si>
    <t>1.4.</t>
  </si>
  <si>
    <t>Светильник</t>
  </si>
  <si>
    <t>Материалы:</t>
  </si>
  <si>
    <t>Ремонт системы отопления</t>
  </si>
  <si>
    <t>1.5.</t>
  </si>
  <si>
    <t>64 час.</t>
  </si>
  <si>
    <t xml:space="preserve">Боченок сталь 50мм </t>
  </si>
  <si>
    <t xml:space="preserve">круг отрезной по металлу </t>
  </si>
  <si>
    <t>Муфта латунь 20мм</t>
  </si>
  <si>
    <t xml:space="preserve">муфта разборная 25х1 </t>
  </si>
  <si>
    <t xml:space="preserve">муфта разборная РР50х2 </t>
  </si>
  <si>
    <t xml:space="preserve">нипель ½ </t>
  </si>
  <si>
    <t xml:space="preserve">нипель 26х1 </t>
  </si>
  <si>
    <t xml:space="preserve">резьба сталь 50мм </t>
  </si>
  <si>
    <t xml:space="preserve">GEBO </t>
  </si>
  <si>
    <t xml:space="preserve">прокладка </t>
  </si>
  <si>
    <t>кран шаровый ½</t>
  </si>
  <si>
    <t xml:space="preserve">1.6. </t>
  </si>
  <si>
    <t>Замена светильника в подъезде</t>
  </si>
  <si>
    <t xml:space="preserve">Светильник светодиодный с дачиком </t>
  </si>
  <si>
    <t>Тех обслуживание газ. Сетей</t>
  </si>
  <si>
    <t>Ремонт фундамента</t>
  </si>
  <si>
    <t>Сальдо на 01.01.2017г.</t>
  </si>
  <si>
    <t xml:space="preserve"> </t>
  </si>
  <si>
    <t>Содержание ОИ</t>
  </si>
  <si>
    <t>Замена лампы накаливания</t>
  </si>
  <si>
    <t>лампа</t>
  </si>
  <si>
    <t>Установка дренажного насоса в подвал</t>
  </si>
  <si>
    <t>2 час.</t>
  </si>
  <si>
    <t>Насос фекальный «Вихрь» ФН-450</t>
  </si>
  <si>
    <t>Замена светильников в подъезде №2 1этаж,подъезд №3 2этаж</t>
  </si>
  <si>
    <t>1 час.</t>
  </si>
  <si>
    <t>Светильник «Онлайн»</t>
  </si>
  <si>
    <t>Ремонтные работы на стояке водопровода кв.№39</t>
  </si>
  <si>
    <t>Тройник 20х1/2х20</t>
  </si>
  <si>
    <t>кран шаровый 1/2х1/2</t>
  </si>
  <si>
    <t>Техническое обслуживание газовых сетей</t>
  </si>
  <si>
    <t>Ремонт балкона</t>
  </si>
  <si>
    <t>Наименование работы</t>
  </si>
  <si>
    <t>Отогрев стояков ХВ,замена стояка ХВ с чердака до квартиры,прочистка стояков ХВ</t>
  </si>
  <si>
    <t>18 час.</t>
  </si>
  <si>
    <t xml:space="preserve">       Труба м/п Ф 20</t>
  </si>
  <si>
    <t>4м</t>
  </si>
  <si>
    <t xml:space="preserve">       тройник 20</t>
  </si>
  <si>
    <t xml:space="preserve">        кран шаровый Ф15</t>
  </si>
  <si>
    <t xml:space="preserve">        фитинг Ф 15</t>
  </si>
  <si>
    <t xml:space="preserve">        фитинг Ф 20</t>
  </si>
  <si>
    <t xml:space="preserve">        соединительная 20х20</t>
  </si>
  <si>
    <t>Рентабельность 15 %</t>
  </si>
  <si>
    <t>Демонтаж и монтаж участка розлива в системе отопления кв.21</t>
  </si>
  <si>
    <t>10 час.</t>
  </si>
  <si>
    <t xml:space="preserve">        Труба м/п Ф 20</t>
  </si>
  <si>
    <t>2 м</t>
  </si>
  <si>
    <t xml:space="preserve">        фитинг 20х1/2</t>
  </si>
  <si>
    <t xml:space="preserve">         фитинг 20х3/4</t>
  </si>
  <si>
    <t xml:space="preserve">        обжим 3/4х20</t>
  </si>
  <si>
    <t xml:space="preserve">        тройник 20х20х20</t>
  </si>
  <si>
    <t>Отогрев стояка ХВ,прочистка стояка ХВ</t>
  </si>
  <si>
    <t>4 час.</t>
  </si>
  <si>
    <t xml:space="preserve">        утеплитель</t>
  </si>
  <si>
    <t>светильник</t>
  </si>
  <si>
    <t>Авария эл.оборудования(отгорел нулевой провод)</t>
  </si>
  <si>
    <t>Замена лежака отопления кв№5</t>
  </si>
  <si>
    <t>1.6.</t>
  </si>
  <si>
    <t>12 час.</t>
  </si>
  <si>
    <t xml:space="preserve">Труба м/п 26мм </t>
  </si>
  <si>
    <t>16 м</t>
  </si>
  <si>
    <t xml:space="preserve">фитинг 3/4х26мм </t>
  </si>
  <si>
    <t>5 шт</t>
  </si>
  <si>
    <t>Ремонт стояка ХВС</t>
  </si>
  <si>
    <t>1.7.</t>
  </si>
  <si>
    <t>8 час.</t>
  </si>
  <si>
    <t xml:space="preserve">Обжим ¾ </t>
  </si>
  <si>
    <t xml:space="preserve">фитинг 3/4х20мм </t>
  </si>
  <si>
    <t xml:space="preserve">кран шаровый ¾ </t>
  </si>
  <si>
    <t>Обслуживание газопроводов</t>
  </si>
  <si>
    <t>Замер напряжения и токов на вводе дома</t>
  </si>
  <si>
    <t>Вставка ППН-33 100А</t>
  </si>
  <si>
    <t xml:space="preserve">Замена светильника </t>
  </si>
  <si>
    <t>Светильник ННБ</t>
  </si>
  <si>
    <t>клемы ВАГО</t>
  </si>
  <si>
    <t>лампа накаливания 60Вт</t>
  </si>
  <si>
    <t>Частичная замена системы отопления ( подвал нижний розлив)</t>
  </si>
  <si>
    <t>192 час.</t>
  </si>
  <si>
    <t xml:space="preserve">Американка 25х1 </t>
  </si>
  <si>
    <t>труба ПП 25</t>
  </si>
  <si>
    <t>14м</t>
  </si>
  <si>
    <t xml:space="preserve">муфта комб. 25Х3/4 </t>
  </si>
  <si>
    <t>4 шт</t>
  </si>
  <si>
    <t xml:space="preserve">кран шаров. 3/4х3/4 </t>
  </si>
  <si>
    <t>4 шт.</t>
  </si>
  <si>
    <t>кран шаров. 1/2х1/2</t>
  </si>
  <si>
    <t>2 шт.</t>
  </si>
  <si>
    <t xml:space="preserve">тройник 3/4х1/2х3/4 </t>
  </si>
  <si>
    <t xml:space="preserve">фитинг 20х3/4 </t>
  </si>
  <si>
    <t xml:space="preserve">муфта ПП 25 </t>
  </si>
  <si>
    <t>6 шт</t>
  </si>
  <si>
    <t xml:space="preserve">угол ПП </t>
  </si>
  <si>
    <t xml:space="preserve">бочонок 1/2х1/2 </t>
  </si>
  <si>
    <t>тройник 26х3/4</t>
  </si>
  <si>
    <t>Всего</t>
  </si>
  <si>
    <t>ул. Мира д.39</t>
  </si>
  <si>
    <t>ул. К.Маркса д.20</t>
  </si>
  <si>
    <t>96 час</t>
  </si>
  <si>
    <t>ул. К.Маркса д.16</t>
  </si>
  <si>
    <t>ул. К.Маркса д.18</t>
  </si>
  <si>
    <t>ул. К.Маркса д.21</t>
  </si>
  <si>
    <t>Проверка газовых сетей</t>
  </si>
  <si>
    <t>Ремонт канализации в подвале</t>
  </si>
  <si>
    <t>Утепленние стояка на чердаке</t>
  </si>
  <si>
    <t xml:space="preserve">Начислено за  2017г. </t>
  </si>
  <si>
    <t>Оплачено  2017г.</t>
  </si>
  <si>
    <t>Затраты за 2017г.</t>
  </si>
  <si>
    <t>Резьба 32мм</t>
  </si>
  <si>
    <t xml:space="preserve">американки 32х40мм </t>
  </si>
  <si>
    <t>тройник РР 40х20мм</t>
  </si>
  <si>
    <t>кран РР 20мм</t>
  </si>
  <si>
    <t xml:space="preserve">муфта РР -20х1/2мм </t>
  </si>
  <si>
    <t>тройник РР 20мм</t>
  </si>
  <si>
    <t>труба РР 20мм</t>
  </si>
  <si>
    <t>20 м</t>
  </si>
  <si>
    <t>8м</t>
  </si>
  <si>
    <t xml:space="preserve">фитинг 16х1/2 </t>
  </si>
  <si>
    <t>труба мп 16мм</t>
  </si>
  <si>
    <t xml:space="preserve">прокладка паранит ½ </t>
  </si>
  <si>
    <t>Замена автомата в подвале</t>
  </si>
  <si>
    <t>Автомат с-40</t>
  </si>
  <si>
    <t>Замена лампы накаливания в подъезде</t>
  </si>
  <si>
    <t xml:space="preserve">Лампа накаливания </t>
  </si>
  <si>
    <t>Сальдо на 31.12.2017</t>
  </si>
  <si>
    <t>Оплата за 2017 г.</t>
  </si>
  <si>
    <t>Выполнено работ  за 2017г.</t>
  </si>
  <si>
    <t>Сальдо на 31.12.2017г.</t>
  </si>
  <si>
    <t xml:space="preserve">Начисление за 2017 </t>
  </si>
  <si>
    <t>Установка светильников</t>
  </si>
  <si>
    <t>светильник с датчиком</t>
  </si>
  <si>
    <t>Установка пластикового окна в подъезде №4</t>
  </si>
  <si>
    <t>Накладные расходы 12%</t>
  </si>
  <si>
    <t>Ремонт кровельного покрытия</t>
  </si>
  <si>
    <t>Оплачено за  2017г.</t>
  </si>
  <si>
    <t>Затраты за  2017г.</t>
  </si>
  <si>
    <t xml:space="preserve">Замена лампы накаливания </t>
  </si>
  <si>
    <t>Замена участка трубы ХВС</t>
  </si>
  <si>
    <t>труба м/п Ф20 мм</t>
  </si>
  <si>
    <t>Утепление труб розлива отопления</t>
  </si>
  <si>
    <t>Замена светильника и лампы в подъезде№3</t>
  </si>
  <si>
    <t>Светильник САВ</t>
  </si>
  <si>
    <t>Труба м/п 20</t>
  </si>
  <si>
    <t>кран шаровый ¾</t>
  </si>
  <si>
    <t>фитинг20х3/4</t>
  </si>
  <si>
    <t>соединительная 20</t>
  </si>
  <si>
    <t>Прочистка фановых труб на крыше</t>
  </si>
  <si>
    <t>Замок врезной</t>
  </si>
  <si>
    <t>саморез</t>
  </si>
  <si>
    <t>фитинг Ф20</t>
  </si>
  <si>
    <t>Установка запорной арматуры  на стояке ГВ(подвал)</t>
  </si>
  <si>
    <t>2 час</t>
  </si>
  <si>
    <t xml:space="preserve">Кран 25 </t>
  </si>
  <si>
    <t xml:space="preserve">фитинг 25 </t>
  </si>
  <si>
    <t>Устранение аварии на системе ХВС(подвал)</t>
  </si>
  <si>
    <t>6 час</t>
  </si>
  <si>
    <t>Кран Ду-25</t>
  </si>
  <si>
    <t>фитинг Ду-25</t>
  </si>
  <si>
    <t>м/п 25</t>
  </si>
  <si>
    <t>1.8.</t>
  </si>
  <si>
    <t>Ремонт крыши(устранение течи)</t>
  </si>
  <si>
    <t>Мастика битумная</t>
  </si>
  <si>
    <t>3кг</t>
  </si>
  <si>
    <t>стеклоизол</t>
  </si>
  <si>
    <t>3м</t>
  </si>
  <si>
    <t>газ пропан</t>
  </si>
  <si>
    <t>10л</t>
  </si>
  <si>
    <t>1.9.</t>
  </si>
  <si>
    <t xml:space="preserve">Вырубка кустарников </t>
  </si>
  <si>
    <t>1.10.</t>
  </si>
  <si>
    <t>Частичная замена системы канализации в подвале</t>
  </si>
  <si>
    <t>6 час.</t>
  </si>
  <si>
    <t>Труба ПВХ 50</t>
  </si>
  <si>
    <t>отвод 45х50</t>
  </si>
  <si>
    <t>Ремонт ливневок на крыше дома</t>
  </si>
  <si>
    <t>15 час</t>
  </si>
  <si>
    <t>5л</t>
  </si>
  <si>
    <t>труба ПМД Ф76мм</t>
  </si>
  <si>
    <t>3 м</t>
  </si>
  <si>
    <t>Замена ламп накаливания в подъезде</t>
  </si>
  <si>
    <t>1.11.</t>
  </si>
  <si>
    <t>1.12.</t>
  </si>
  <si>
    <t>1час</t>
  </si>
  <si>
    <t>лампа накаливания 90 Вт</t>
  </si>
  <si>
    <t>1.13.</t>
  </si>
  <si>
    <t xml:space="preserve">Труба м/п 20мм </t>
  </si>
  <si>
    <t>Замена светильника в подьезде №2</t>
  </si>
  <si>
    <t>1.14.</t>
  </si>
  <si>
    <t xml:space="preserve">Светильник светодиодный с датчиком </t>
  </si>
  <si>
    <t>Ремонт системы ГВС</t>
  </si>
  <si>
    <t>1.15.</t>
  </si>
  <si>
    <t>Задвижка Ду 50</t>
  </si>
  <si>
    <t>Замена светильника на площадке кв.12</t>
  </si>
  <si>
    <t>1.16.</t>
  </si>
  <si>
    <t xml:space="preserve">светодиодный светильник </t>
  </si>
  <si>
    <t>Ремонт системы ХВС в подвале</t>
  </si>
  <si>
    <t>1.17.</t>
  </si>
  <si>
    <t>фитинг 26мм</t>
  </si>
  <si>
    <t>кран шаровый 26мм</t>
  </si>
  <si>
    <t>труба мп 26мм</t>
  </si>
  <si>
    <t>полотно ножовочное</t>
  </si>
  <si>
    <t>Замена светильника кв.15 5 этаж</t>
  </si>
  <si>
    <t>1.18.</t>
  </si>
  <si>
    <t>Ремонтные работы на системе канализации</t>
  </si>
  <si>
    <t>1.19.</t>
  </si>
  <si>
    <t xml:space="preserve">манжета 50мм </t>
  </si>
  <si>
    <t>герметик</t>
  </si>
  <si>
    <t xml:space="preserve">труба ПВХ 50мм </t>
  </si>
  <si>
    <t xml:space="preserve">отвод 50Х45 </t>
  </si>
  <si>
    <t>Ремонтные работы на системеХВС( разрыв трубы)</t>
  </si>
  <si>
    <t>1.20.</t>
  </si>
  <si>
    <t>тесьма</t>
  </si>
  <si>
    <t>Расчистка снега экскаватором</t>
  </si>
  <si>
    <t>Услуги дворника</t>
  </si>
  <si>
    <t xml:space="preserve">Очистка кровли от снега </t>
  </si>
  <si>
    <t>Расчистка придомовой территории экскаватором</t>
  </si>
  <si>
    <t>Ремонт водопровода(подвал)</t>
  </si>
  <si>
    <t>Ремонт на системе отопления(подвал)</t>
  </si>
  <si>
    <t>Демонтаж и установка врезного замка в металлическую дверь(подвал)</t>
  </si>
  <si>
    <t>4 час</t>
  </si>
  <si>
    <t xml:space="preserve">Начислено за 10 мес. 2017г. </t>
  </si>
  <si>
    <t>Оплачено за 10 мес. 2017г.</t>
  </si>
  <si>
    <t>Затраты на 31.10.2017г.</t>
  </si>
  <si>
    <t>Сальдо на 31.10.2017</t>
  </si>
  <si>
    <t>Наименование работ</t>
  </si>
  <si>
    <t>ед. изм</t>
  </si>
  <si>
    <t>Сумма</t>
  </si>
  <si>
    <t>м</t>
  </si>
  <si>
    <t>кол-во</t>
  </si>
  <si>
    <t>шт</t>
  </si>
  <si>
    <t>Ремонт канализации</t>
  </si>
  <si>
    <t>Замена электрооборудования</t>
  </si>
  <si>
    <t>Ремонтводопроводного стояка</t>
  </si>
  <si>
    <t>Ремонт водопроводного стояка</t>
  </si>
  <si>
    <t>Ремонт системы теплоснабжения</t>
  </si>
  <si>
    <t xml:space="preserve">Ремонт  кровли </t>
  </si>
  <si>
    <t>м2</t>
  </si>
  <si>
    <t>Замена запорной арматуры на стояхах ГВС</t>
  </si>
  <si>
    <t>Ремонт входной двери</t>
  </si>
  <si>
    <t>Уборка территории с вырубкой кустарников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</si>
</sst>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Fill="1" applyBorder="1"/>
    <xf numFmtId="0" fontId="1" fillId="2" borderId="1" xfId="0" applyFont="1" applyFill="1" applyBorder="1"/>
    <xf numFmtId="2" fontId="2" fillId="3" borderId="1" xfId="0" applyNumberFormat="1" applyFont="1" applyFill="1" applyBorder="1"/>
    <xf numFmtId="0" fontId="0" fillId="2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G7" sqref="G7"/>
    </sheetView>
  </sheetViews>
  <sheetFormatPr defaultRowHeight="15" x14ac:dyDescent="0.25"/>
  <cols>
    <col min="1" max="1" width="41.28515625" customWidth="1"/>
    <col min="2" max="2" width="13.7109375" customWidth="1"/>
    <col min="3" max="3" width="12.5703125" customWidth="1"/>
    <col min="4" max="4" width="13" customWidth="1"/>
    <col min="5" max="5" width="14.5703125" customWidth="1"/>
    <col min="6" max="6" width="14.7109375" customWidth="1"/>
    <col min="7" max="7" width="14.5703125" customWidth="1"/>
  </cols>
  <sheetData>
    <row r="2" spans="1:7" ht="15.75" x14ac:dyDescent="0.25">
      <c r="A2" s="42" t="s">
        <v>180</v>
      </c>
      <c r="B2" s="42"/>
      <c r="C2" s="42"/>
      <c r="D2" s="42"/>
      <c r="E2" s="42"/>
      <c r="F2" s="42"/>
      <c r="G2" s="42"/>
    </row>
    <row r="4" spans="1:7" ht="30" x14ac:dyDescent="0.25">
      <c r="A4" s="1" t="s">
        <v>0</v>
      </c>
      <c r="B4" s="1">
        <v>1373.8</v>
      </c>
      <c r="C4" s="2" t="s">
        <v>1</v>
      </c>
      <c r="D4" s="2" t="s">
        <v>189</v>
      </c>
      <c r="E4" s="2" t="s">
        <v>190</v>
      </c>
      <c r="F4" s="2" t="s">
        <v>191</v>
      </c>
      <c r="G4" s="2" t="s">
        <v>208</v>
      </c>
    </row>
    <row r="5" spans="1:7" x14ac:dyDescent="0.25">
      <c r="A5" s="1" t="s">
        <v>2</v>
      </c>
      <c r="B5" s="1">
        <v>2.87</v>
      </c>
      <c r="C5" s="1"/>
      <c r="D5" s="1"/>
      <c r="E5" s="1"/>
      <c r="F5" s="17">
        <f>B4*B5*12</f>
        <v>47313.671999999999</v>
      </c>
      <c r="G5" s="1"/>
    </row>
    <row r="6" spans="1:7" x14ac:dyDescent="0.25">
      <c r="A6" s="1" t="s">
        <v>3</v>
      </c>
      <c r="B6" s="1">
        <v>3.55</v>
      </c>
      <c r="C6" s="1"/>
      <c r="D6" s="1"/>
      <c r="E6" s="1"/>
      <c r="F6" s="1">
        <v>76521.87</v>
      </c>
      <c r="G6" s="1"/>
    </row>
    <row r="7" spans="1:7" x14ac:dyDescent="0.25">
      <c r="A7" s="1" t="s">
        <v>4</v>
      </c>
      <c r="B7" s="1">
        <v>4.9800000000000004</v>
      </c>
      <c r="C7" s="1"/>
      <c r="D7" s="1"/>
      <c r="E7" s="1"/>
      <c r="F7" s="17">
        <f>B7*B4*12</f>
        <v>82098.288</v>
      </c>
      <c r="G7" s="1"/>
    </row>
    <row r="8" spans="1:7" x14ac:dyDescent="0.25">
      <c r="A8" s="1" t="s">
        <v>5</v>
      </c>
      <c r="B8" s="1"/>
      <c r="C8" s="1">
        <v>-5630.65</v>
      </c>
      <c r="D8" s="1">
        <v>181930.32</v>
      </c>
      <c r="E8" s="1">
        <v>177710.13</v>
      </c>
      <c r="F8" s="1"/>
      <c r="G8" s="1"/>
    </row>
    <row r="9" spans="1:7" x14ac:dyDescent="0.25">
      <c r="A9" s="1" t="s">
        <v>6</v>
      </c>
      <c r="B9" s="1">
        <v>0.06</v>
      </c>
      <c r="C9" s="1"/>
      <c r="D9" s="1">
        <v>957.6</v>
      </c>
      <c r="E9" s="1">
        <v>833.56</v>
      </c>
      <c r="F9" s="1">
        <f>D9</f>
        <v>957.6</v>
      </c>
      <c r="G9" s="1"/>
    </row>
    <row r="10" spans="1:7" x14ac:dyDescent="0.25">
      <c r="A10" s="2" t="s">
        <v>7</v>
      </c>
      <c r="B10" s="1"/>
      <c r="C10" s="1">
        <v>500</v>
      </c>
      <c r="D10" s="1">
        <v>1200</v>
      </c>
      <c r="E10" s="1">
        <v>1600</v>
      </c>
      <c r="F10" s="1"/>
      <c r="G10" s="1"/>
    </row>
    <row r="11" spans="1:7" x14ac:dyDescent="0.25">
      <c r="A11" s="2" t="s">
        <v>8</v>
      </c>
      <c r="B11" s="1"/>
      <c r="C11" s="1">
        <v>-14518.07</v>
      </c>
      <c r="D11" s="1">
        <v>15663.6</v>
      </c>
      <c r="E11" s="1">
        <v>9137.1</v>
      </c>
      <c r="F11" s="1"/>
      <c r="G11" s="1"/>
    </row>
    <row r="12" spans="1:7" x14ac:dyDescent="0.25">
      <c r="A12" s="1" t="s">
        <v>9</v>
      </c>
      <c r="B12" s="1"/>
      <c r="C12" s="1"/>
      <c r="D12" s="1"/>
      <c r="E12" s="1">
        <v>500</v>
      </c>
      <c r="F12" s="1"/>
      <c r="G12" s="1"/>
    </row>
    <row r="13" spans="1:7" x14ac:dyDescent="0.25">
      <c r="A13" s="1" t="s">
        <v>10</v>
      </c>
      <c r="B13" s="1"/>
      <c r="C13" s="1">
        <f>SUM(C8:C12)</f>
        <v>-19648.72</v>
      </c>
      <c r="D13" s="1">
        <f>SUM(D8:D11)</f>
        <v>199751.52000000002</v>
      </c>
      <c r="E13" s="1">
        <f>SUM(E8:E12)</f>
        <v>189780.79</v>
      </c>
      <c r="F13" s="1">
        <f>SUM(F5:F12)</f>
        <v>206891.43</v>
      </c>
      <c r="G13" s="1">
        <f>C13+E13-F13</f>
        <v>-36759.359999999986</v>
      </c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6"/>
  <sheetViews>
    <sheetView workbookViewId="0">
      <selection activeCell="E18" sqref="E18"/>
    </sheetView>
  </sheetViews>
  <sheetFormatPr defaultRowHeight="15.75" x14ac:dyDescent="0.25"/>
  <cols>
    <col min="1" max="1" width="9.140625" style="4"/>
    <col min="2" max="2" width="45.42578125" style="4" customWidth="1"/>
    <col min="3" max="3" width="9.140625" style="4"/>
    <col min="4" max="4" width="9.5703125" style="32" bestFit="1" customWidth="1"/>
    <col min="7" max="7" width="44.5703125" customWidth="1"/>
  </cols>
  <sheetData>
    <row r="3" spans="1:10" x14ac:dyDescent="0.25">
      <c r="A3" s="5"/>
      <c r="B3" s="5" t="s">
        <v>117</v>
      </c>
      <c r="C3" s="5"/>
      <c r="D3" s="30"/>
      <c r="G3" s="6" t="s">
        <v>308</v>
      </c>
      <c r="H3" s="6" t="s">
        <v>309</v>
      </c>
      <c r="I3" s="6" t="s">
        <v>312</v>
      </c>
      <c r="J3" s="6" t="s">
        <v>310</v>
      </c>
    </row>
    <row r="4" spans="1:10" x14ac:dyDescent="0.25">
      <c r="A4" s="13">
        <v>1</v>
      </c>
      <c r="B4" s="13" t="s">
        <v>11</v>
      </c>
      <c r="C4" s="5"/>
      <c r="D4" s="31">
        <f>D5+D12+D21+D38+D45+D52</f>
        <v>52703.48395200001</v>
      </c>
      <c r="G4" s="5" t="s">
        <v>317</v>
      </c>
      <c r="H4" s="5" t="s">
        <v>311</v>
      </c>
      <c r="I4" s="5">
        <v>2</v>
      </c>
      <c r="J4" s="5">
        <v>916.62</v>
      </c>
    </row>
    <row r="5" spans="1:10" x14ac:dyDescent="0.25">
      <c r="A5" s="5" t="s">
        <v>12</v>
      </c>
      <c r="B5" s="5" t="s">
        <v>155</v>
      </c>
      <c r="C5" s="5"/>
      <c r="D5" s="31">
        <f>D6+D7+D8+D10+D11</f>
        <v>526.15924240000004</v>
      </c>
      <c r="G5" s="5" t="s">
        <v>318</v>
      </c>
      <c r="H5" s="5" t="s">
        <v>311</v>
      </c>
      <c r="I5" s="5">
        <v>14</v>
      </c>
      <c r="J5" s="5">
        <v>49736.34</v>
      </c>
    </row>
    <row r="6" spans="1:10" x14ac:dyDescent="0.25">
      <c r="A6" s="5"/>
      <c r="B6" s="5" t="s">
        <v>14</v>
      </c>
      <c r="C6" s="5" t="s">
        <v>107</v>
      </c>
      <c r="D6" s="31">
        <f>58.09*2*1.8</f>
        <v>209.12400000000002</v>
      </c>
      <c r="G6" s="5" t="s">
        <v>315</v>
      </c>
      <c r="H6" s="5" t="s">
        <v>313</v>
      </c>
      <c r="I6" s="5">
        <v>3</v>
      </c>
      <c r="J6" s="5">
        <v>2050.54</v>
      </c>
    </row>
    <row r="7" spans="1:10" x14ac:dyDescent="0.25">
      <c r="A7" s="5"/>
      <c r="B7" s="5" t="s">
        <v>63</v>
      </c>
      <c r="C7" s="5"/>
      <c r="D7" s="31">
        <f>D6*0.303</f>
        <v>63.364572000000003</v>
      </c>
      <c r="G7" s="5" t="s">
        <v>186</v>
      </c>
      <c r="H7" s="5"/>
      <c r="I7" s="5"/>
      <c r="J7" s="5">
        <v>6262.22</v>
      </c>
    </row>
    <row r="8" spans="1:10" ht="31.5" x14ac:dyDescent="0.25">
      <c r="A8" s="5"/>
      <c r="B8" s="5" t="s">
        <v>81</v>
      </c>
      <c r="C8" s="5"/>
      <c r="D8" s="30">
        <f>D9</f>
        <v>97</v>
      </c>
      <c r="G8" s="14" t="s">
        <v>299</v>
      </c>
      <c r="H8" s="29"/>
      <c r="I8" s="29"/>
      <c r="J8" s="7">
        <v>2318.4</v>
      </c>
    </row>
    <row r="9" spans="1:10" x14ac:dyDescent="0.25">
      <c r="A9" s="5"/>
      <c r="B9" s="5" t="s">
        <v>156</v>
      </c>
      <c r="C9" s="5" t="s">
        <v>17</v>
      </c>
      <c r="D9" s="30">
        <v>97</v>
      </c>
    </row>
    <row r="10" spans="1:10" x14ac:dyDescent="0.25">
      <c r="A10" s="5"/>
      <c r="B10" s="5" t="s">
        <v>21</v>
      </c>
      <c r="C10" s="5"/>
      <c r="D10" s="31">
        <f>D6*0.421</f>
        <v>88.041204000000008</v>
      </c>
    </row>
    <row r="11" spans="1:10" x14ac:dyDescent="0.25">
      <c r="A11" s="5"/>
      <c r="B11" s="5" t="s">
        <v>22</v>
      </c>
      <c r="C11" s="5"/>
      <c r="D11" s="31">
        <f>(D6+D7+D8+D10)*0.15</f>
        <v>68.629466399999998</v>
      </c>
    </row>
    <row r="12" spans="1:10" x14ac:dyDescent="0.25">
      <c r="A12" s="5" t="s">
        <v>23</v>
      </c>
      <c r="B12" s="5" t="s">
        <v>157</v>
      </c>
      <c r="C12" s="5"/>
      <c r="D12" s="31">
        <f>D13+D14+D15+D19+D20</f>
        <v>1070.6727424000001</v>
      </c>
    </row>
    <row r="13" spans="1:10" x14ac:dyDescent="0.25">
      <c r="A13" s="5"/>
      <c r="B13" s="5" t="s">
        <v>14</v>
      </c>
      <c r="C13" s="5" t="s">
        <v>107</v>
      </c>
      <c r="D13" s="31">
        <f>58.09*2*1.8</f>
        <v>209.12400000000002</v>
      </c>
    </row>
    <row r="14" spans="1:10" x14ac:dyDescent="0.25">
      <c r="A14" s="5"/>
      <c r="B14" s="5" t="s">
        <v>63</v>
      </c>
      <c r="C14" s="5"/>
      <c r="D14" s="31">
        <f>D13*0.303</f>
        <v>63.364572000000003</v>
      </c>
    </row>
    <row r="15" spans="1:10" x14ac:dyDescent="0.25">
      <c r="A15" s="5"/>
      <c r="B15" s="5" t="s">
        <v>81</v>
      </c>
      <c r="C15" s="5"/>
      <c r="D15" s="30">
        <f>D16+D17+D18</f>
        <v>570.49</v>
      </c>
    </row>
    <row r="16" spans="1:10" x14ac:dyDescent="0.25">
      <c r="A16" s="5"/>
      <c r="B16" s="16" t="s">
        <v>158</v>
      </c>
      <c r="C16" s="25" t="s">
        <v>17</v>
      </c>
      <c r="D16" s="39">
        <v>537</v>
      </c>
    </row>
    <row r="17" spans="1:4" x14ac:dyDescent="0.25">
      <c r="A17" s="5"/>
      <c r="B17" s="16" t="s">
        <v>159</v>
      </c>
      <c r="C17" s="25" t="s">
        <v>48</v>
      </c>
      <c r="D17" s="39">
        <v>16.489999999999998</v>
      </c>
    </row>
    <row r="18" spans="1:4" x14ac:dyDescent="0.25">
      <c r="A18" s="5"/>
      <c r="B18" s="16" t="s">
        <v>160</v>
      </c>
      <c r="C18" s="25" t="s">
        <v>17</v>
      </c>
      <c r="D18" s="39">
        <v>17</v>
      </c>
    </row>
    <row r="19" spans="1:4" x14ac:dyDescent="0.25">
      <c r="A19" s="5"/>
      <c r="B19" s="5" t="s">
        <v>21</v>
      </c>
      <c r="C19" s="5"/>
      <c r="D19" s="31">
        <f>D13*0.421</f>
        <v>88.041204000000008</v>
      </c>
    </row>
    <row r="20" spans="1:4" x14ac:dyDescent="0.25">
      <c r="A20" s="5"/>
      <c r="B20" s="5" t="s">
        <v>22</v>
      </c>
      <c r="C20" s="5"/>
      <c r="D20" s="31">
        <f>(D13+D14+D15+D19)*0.15</f>
        <v>139.6529664</v>
      </c>
    </row>
    <row r="21" spans="1:4" ht="37.5" customHeight="1" x14ac:dyDescent="0.25">
      <c r="A21" s="5" t="s">
        <v>34</v>
      </c>
      <c r="B21" s="14" t="s">
        <v>161</v>
      </c>
      <c r="C21" s="5"/>
      <c r="D21" s="30">
        <f>D22+D23+D24+D36+D37</f>
        <v>48077.88727040001</v>
      </c>
    </row>
    <row r="22" spans="1:4" x14ac:dyDescent="0.25">
      <c r="A22" s="5"/>
      <c r="B22" s="5" t="s">
        <v>14</v>
      </c>
      <c r="C22" s="5" t="s">
        <v>162</v>
      </c>
      <c r="D22" s="30">
        <f>58.09*192*1.8</f>
        <v>20075.904000000002</v>
      </c>
    </row>
    <row r="23" spans="1:4" x14ac:dyDescent="0.25">
      <c r="A23" s="5"/>
      <c r="B23" s="5" t="s">
        <v>63</v>
      </c>
      <c r="C23" s="5"/>
      <c r="D23" s="30">
        <f>D22*0.303</f>
        <v>6082.9989120000009</v>
      </c>
    </row>
    <row r="24" spans="1:4" x14ac:dyDescent="0.25">
      <c r="A24" s="5"/>
      <c r="B24" s="5" t="s">
        <v>81</v>
      </c>
      <c r="C24" s="5"/>
      <c r="D24" s="30">
        <f>SUM(D25:D35)</f>
        <v>7196</v>
      </c>
    </row>
    <row r="25" spans="1:4" x14ac:dyDescent="0.25">
      <c r="A25" s="5"/>
      <c r="B25" s="5" t="s">
        <v>163</v>
      </c>
      <c r="C25" s="5" t="s">
        <v>48</v>
      </c>
      <c r="D25" s="30">
        <v>1310</v>
      </c>
    </row>
    <row r="26" spans="1:4" x14ac:dyDescent="0.25">
      <c r="A26" s="5"/>
      <c r="B26" s="5" t="s">
        <v>164</v>
      </c>
      <c r="C26" s="5" t="s">
        <v>165</v>
      </c>
      <c r="D26" s="30">
        <v>1890</v>
      </c>
    </row>
    <row r="27" spans="1:4" x14ac:dyDescent="0.25">
      <c r="A27" s="5"/>
      <c r="B27" s="5" t="s">
        <v>166</v>
      </c>
      <c r="C27" s="5" t="s">
        <v>167</v>
      </c>
      <c r="D27" s="30">
        <v>464</v>
      </c>
    </row>
    <row r="28" spans="1:4" x14ac:dyDescent="0.25">
      <c r="A28" s="5"/>
      <c r="B28" s="5" t="s">
        <v>168</v>
      </c>
      <c r="C28" s="5" t="s">
        <v>169</v>
      </c>
      <c r="D28" s="30">
        <v>920</v>
      </c>
    </row>
    <row r="29" spans="1:4" x14ac:dyDescent="0.25">
      <c r="A29" s="5"/>
      <c r="B29" s="5" t="s">
        <v>170</v>
      </c>
      <c r="C29" s="5" t="s">
        <v>171</v>
      </c>
      <c r="D29" s="30">
        <v>330</v>
      </c>
    </row>
    <row r="30" spans="1:4" x14ac:dyDescent="0.25">
      <c r="A30" s="5"/>
      <c r="B30" s="5" t="s">
        <v>172</v>
      </c>
      <c r="C30" s="5" t="s">
        <v>48</v>
      </c>
      <c r="D30" s="30">
        <v>380</v>
      </c>
    </row>
    <row r="31" spans="1:4" x14ac:dyDescent="0.25">
      <c r="A31" s="5"/>
      <c r="B31" s="5" t="s">
        <v>173</v>
      </c>
      <c r="C31" s="5" t="s">
        <v>167</v>
      </c>
      <c r="D31" s="30">
        <v>416</v>
      </c>
    </row>
    <row r="32" spans="1:4" x14ac:dyDescent="0.25">
      <c r="A32" s="5"/>
      <c r="B32" s="5" t="s">
        <v>174</v>
      </c>
      <c r="C32" s="5" t="s">
        <v>175</v>
      </c>
      <c r="D32" s="30">
        <v>696</v>
      </c>
    </row>
    <row r="33" spans="1:4" x14ac:dyDescent="0.25">
      <c r="A33" s="5"/>
      <c r="B33" s="5" t="s">
        <v>176</v>
      </c>
      <c r="C33" s="5" t="s">
        <v>48</v>
      </c>
      <c r="D33" s="30">
        <v>120</v>
      </c>
    </row>
    <row r="34" spans="1:4" x14ac:dyDescent="0.25">
      <c r="A34" s="5"/>
      <c r="B34" s="5" t="s">
        <v>177</v>
      </c>
      <c r="C34" s="5" t="s">
        <v>48</v>
      </c>
      <c r="D34" s="30">
        <v>90</v>
      </c>
    </row>
    <row r="35" spans="1:4" x14ac:dyDescent="0.25">
      <c r="A35" s="5"/>
      <c r="B35" s="5" t="s">
        <v>178</v>
      </c>
      <c r="C35" s="5" t="s">
        <v>48</v>
      </c>
      <c r="D35" s="30">
        <v>580</v>
      </c>
    </row>
    <row r="36" spans="1:4" x14ac:dyDescent="0.25">
      <c r="A36" s="5"/>
      <c r="B36" s="5" t="s">
        <v>21</v>
      </c>
      <c r="C36" s="5"/>
      <c r="D36" s="30">
        <f>D22*0.421</f>
        <v>8451.9555840000012</v>
      </c>
    </row>
    <row r="37" spans="1:4" x14ac:dyDescent="0.25">
      <c r="A37" s="5"/>
      <c r="B37" s="5" t="s">
        <v>22</v>
      </c>
      <c r="C37" s="5"/>
      <c r="D37" s="30">
        <f>(D22+D23+D24+D36)*0.15</f>
        <v>6271.0287744000007</v>
      </c>
    </row>
    <row r="38" spans="1:4" s="15" customFormat="1" x14ac:dyDescent="0.25">
      <c r="A38" s="5" t="s">
        <v>79</v>
      </c>
      <c r="B38" s="5" t="s">
        <v>220</v>
      </c>
      <c r="C38" s="5"/>
      <c r="D38" s="31">
        <f>D39+D40+D41+D43+D44</f>
        <v>453.70924240000005</v>
      </c>
    </row>
    <row r="39" spans="1:4" s="15" customFormat="1" x14ac:dyDescent="0.25">
      <c r="A39" s="5"/>
      <c r="B39" s="5" t="s">
        <v>14</v>
      </c>
      <c r="C39" s="5" t="s">
        <v>107</v>
      </c>
      <c r="D39" s="31">
        <f>58.09*2*1.8</f>
        <v>209.12400000000002</v>
      </c>
    </row>
    <row r="40" spans="1:4" s="15" customFormat="1" x14ac:dyDescent="0.25">
      <c r="A40" s="5"/>
      <c r="B40" s="5" t="s">
        <v>63</v>
      </c>
      <c r="C40" s="5"/>
      <c r="D40" s="31">
        <f>D39*0.303</f>
        <v>63.364572000000003</v>
      </c>
    </row>
    <row r="41" spans="1:4" s="15" customFormat="1" x14ac:dyDescent="0.25">
      <c r="A41" s="5"/>
      <c r="B41" s="5" t="s">
        <v>81</v>
      </c>
      <c r="C41" s="5"/>
      <c r="D41" s="30">
        <f>D42</f>
        <v>34</v>
      </c>
    </row>
    <row r="42" spans="1:4" s="15" customFormat="1" x14ac:dyDescent="0.25">
      <c r="A42" s="5"/>
      <c r="B42" s="5" t="s">
        <v>160</v>
      </c>
      <c r="C42" s="5"/>
      <c r="D42" s="30">
        <v>34</v>
      </c>
    </row>
    <row r="43" spans="1:4" s="15" customFormat="1" x14ac:dyDescent="0.25">
      <c r="A43" s="5"/>
      <c r="B43" s="5" t="s">
        <v>21</v>
      </c>
      <c r="C43" s="5"/>
      <c r="D43" s="31">
        <f>D39*0.421</f>
        <v>88.041204000000008</v>
      </c>
    </row>
    <row r="44" spans="1:4" x14ac:dyDescent="0.25">
      <c r="A44" s="5"/>
      <c r="B44" s="5" t="s">
        <v>22</v>
      </c>
      <c r="C44" s="5"/>
      <c r="D44" s="31">
        <f>(D39+D40+D41+D43)*0.15</f>
        <v>59.179466400000003</v>
      </c>
    </row>
    <row r="45" spans="1:4" s="15" customFormat="1" x14ac:dyDescent="0.25">
      <c r="A45" s="5" t="s">
        <v>83</v>
      </c>
      <c r="B45" s="5" t="s">
        <v>221</v>
      </c>
      <c r="C45" s="5"/>
      <c r="D45" s="31">
        <f>D46+D47+D48+D50+D51</f>
        <v>916.61848480000003</v>
      </c>
    </row>
    <row r="46" spans="1:4" s="15" customFormat="1" x14ac:dyDescent="0.25">
      <c r="A46" s="5"/>
      <c r="B46" s="5" t="s">
        <v>14</v>
      </c>
      <c r="C46" s="5" t="s">
        <v>137</v>
      </c>
      <c r="D46" s="31">
        <f>58.09*4*1.8</f>
        <v>418.24800000000005</v>
      </c>
    </row>
    <row r="47" spans="1:4" s="15" customFormat="1" x14ac:dyDescent="0.25">
      <c r="A47" s="5"/>
      <c r="B47" s="5" t="s">
        <v>63</v>
      </c>
      <c r="C47" s="5"/>
      <c r="D47" s="31">
        <f>D46*0.303</f>
        <v>126.72914400000001</v>
      </c>
    </row>
    <row r="48" spans="1:4" s="15" customFormat="1" x14ac:dyDescent="0.25">
      <c r="A48" s="5"/>
      <c r="B48" s="5" t="s">
        <v>81</v>
      </c>
      <c r="C48" s="5"/>
      <c r="D48" s="31">
        <f>D49</f>
        <v>76</v>
      </c>
    </row>
    <row r="49" spans="1:4" s="15" customFormat="1" x14ac:dyDescent="0.25">
      <c r="A49" s="5"/>
      <c r="B49" s="5" t="s">
        <v>222</v>
      </c>
      <c r="C49" s="5" t="s">
        <v>74</v>
      </c>
      <c r="D49" s="31">
        <v>76</v>
      </c>
    </row>
    <row r="50" spans="1:4" s="15" customFormat="1" x14ac:dyDescent="0.25">
      <c r="A50" s="5"/>
      <c r="B50" s="5" t="s">
        <v>21</v>
      </c>
      <c r="C50" s="5"/>
      <c r="D50" s="31">
        <f>D46*0.421</f>
        <v>176.08240800000002</v>
      </c>
    </row>
    <row r="51" spans="1:4" s="15" customFormat="1" x14ac:dyDescent="0.25">
      <c r="A51" s="5"/>
      <c r="B51" s="5" t="s">
        <v>22</v>
      </c>
      <c r="C51" s="5"/>
      <c r="D51" s="31">
        <f>(D46+D47+D48+D50)*0.15</f>
        <v>119.55893280000001</v>
      </c>
    </row>
    <row r="52" spans="1:4" s="15" customFormat="1" x14ac:dyDescent="0.25">
      <c r="A52" s="5" t="s">
        <v>142</v>
      </c>
      <c r="B52" s="5" t="s">
        <v>223</v>
      </c>
      <c r="C52" s="5"/>
      <c r="D52" s="31">
        <f>D53+D54+D55+D56</f>
        <v>1658.4369696000001</v>
      </c>
    </row>
    <row r="53" spans="1:4" s="15" customFormat="1" x14ac:dyDescent="0.25">
      <c r="A53" s="5"/>
      <c r="B53" s="5" t="s">
        <v>14</v>
      </c>
      <c r="C53" s="5" t="s">
        <v>18</v>
      </c>
      <c r="D53" s="31">
        <f>58.09*8*1.8</f>
        <v>836.49600000000009</v>
      </c>
    </row>
    <row r="54" spans="1:4" s="15" customFormat="1" x14ac:dyDescent="0.25">
      <c r="A54" s="5"/>
      <c r="B54" s="5" t="s">
        <v>63</v>
      </c>
      <c r="C54" s="5"/>
      <c r="D54" s="31">
        <f>D53*0.303</f>
        <v>253.45828800000001</v>
      </c>
    </row>
    <row r="55" spans="1:4" s="15" customFormat="1" x14ac:dyDescent="0.25">
      <c r="A55" s="5"/>
      <c r="B55" s="5" t="s">
        <v>21</v>
      </c>
      <c r="C55" s="5"/>
      <c r="D55" s="31">
        <f>D53*0.421</f>
        <v>352.16481600000003</v>
      </c>
    </row>
    <row r="56" spans="1:4" s="15" customFormat="1" x14ac:dyDescent="0.25">
      <c r="A56" s="5"/>
      <c r="B56" s="5" t="s">
        <v>22</v>
      </c>
      <c r="C56" s="5"/>
      <c r="D56" s="31">
        <f>(D53+D55+D54)*0.15</f>
        <v>216.3178656</v>
      </c>
    </row>
    <row r="57" spans="1:4" s="15" customFormat="1" x14ac:dyDescent="0.25">
      <c r="A57" s="5"/>
      <c r="B57" s="5"/>
      <c r="C57" s="5"/>
      <c r="D57" s="31"/>
    </row>
    <row r="58" spans="1:4" s="15" customFormat="1" x14ac:dyDescent="0.25">
      <c r="A58" s="5"/>
      <c r="B58" s="5" t="s">
        <v>154</v>
      </c>
      <c r="C58" s="5"/>
      <c r="D58" s="31">
        <v>4861.97</v>
      </c>
    </row>
    <row r="59" spans="1:4" s="15" customFormat="1" x14ac:dyDescent="0.25">
      <c r="A59" s="5"/>
      <c r="B59" s="5" t="s">
        <v>216</v>
      </c>
      <c r="C59" s="5"/>
      <c r="D59" s="30">
        <f>D58*0.12</f>
        <v>583.43640000000005</v>
      </c>
    </row>
    <row r="60" spans="1:4" s="15" customFormat="1" x14ac:dyDescent="0.25">
      <c r="A60" s="5"/>
      <c r="B60" s="16" t="s">
        <v>127</v>
      </c>
      <c r="C60" s="5"/>
      <c r="D60" s="30">
        <f>(D58+D59)*0.15</f>
        <v>816.81095999999991</v>
      </c>
    </row>
    <row r="61" spans="1:4" s="15" customFormat="1" x14ac:dyDescent="0.25">
      <c r="A61" s="5"/>
      <c r="B61" s="16" t="s">
        <v>10</v>
      </c>
      <c r="C61" s="5"/>
      <c r="D61" s="30">
        <f>SUM(D58:D60)</f>
        <v>6262.2173599999996</v>
      </c>
    </row>
    <row r="62" spans="1:4" s="15" customFormat="1" ht="31.5" x14ac:dyDescent="0.25">
      <c r="A62" s="5"/>
      <c r="B62" s="14" t="s">
        <v>299</v>
      </c>
      <c r="C62" s="5"/>
      <c r="D62" s="31">
        <v>1800</v>
      </c>
    </row>
    <row r="63" spans="1:4" x14ac:dyDescent="0.25">
      <c r="A63" s="5"/>
      <c r="B63" s="5" t="s">
        <v>216</v>
      </c>
      <c r="C63" s="5"/>
      <c r="D63" s="30">
        <f>D62*0.12</f>
        <v>216</v>
      </c>
    </row>
    <row r="64" spans="1:4" x14ac:dyDescent="0.25">
      <c r="A64" s="5"/>
      <c r="B64" s="16" t="s">
        <v>127</v>
      </c>
      <c r="C64" s="5"/>
      <c r="D64" s="30">
        <f>(D62+D63)*0.15</f>
        <v>302.39999999999998</v>
      </c>
    </row>
    <row r="65" spans="1:4" x14ac:dyDescent="0.25">
      <c r="A65" s="5"/>
      <c r="B65" s="16" t="s">
        <v>10</v>
      </c>
      <c r="C65" s="5"/>
      <c r="D65" s="30">
        <f>SUM(D62:D64)</f>
        <v>2318.4</v>
      </c>
    </row>
    <row r="66" spans="1:4" x14ac:dyDescent="0.25">
      <c r="A66" s="5"/>
      <c r="B66" s="5" t="s">
        <v>179</v>
      </c>
      <c r="C66" s="5"/>
      <c r="D66" s="31">
        <f>D65+D61+D4</f>
        <v>61284.101312000013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workbookViewId="0">
      <selection activeCell="G13" sqref="G13"/>
    </sheetView>
  </sheetViews>
  <sheetFormatPr defaultRowHeight="15" x14ac:dyDescent="0.25"/>
  <cols>
    <col min="1" max="1" width="32" customWidth="1"/>
    <col min="2" max="2" width="10.140625" customWidth="1"/>
    <col min="3" max="3" width="11.42578125" customWidth="1"/>
    <col min="4" max="4" width="12.7109375" customWidth="1"/>
    <col min="5" max="5" width="12.5703125" customWidth="1"/>
    <col min="6" max="6" width="12.42578125" customWidth="1"/>
    <col min="7" max="7" width="12.140625" customWidth="1"/>
  </cols>
  <sheetData>
    <row r="4" spans="1:7" ht="30" x14ac:dyDescent="0.25">
      <c r="A4" s="16" t="s">
        <v>0</v>
      </c>
      <c r="B4" s="5">
        <v>3175.6</v>
      </c>
      <c r="C4" s="11" t="s">
        <v>1</v>
      </c>
      <c r="D4" s="11" t="s">
        <v>189</v>
      </c>
      <c r="E4" s="11" t="s">
        <v>218</v>
      </c>
      <c r="F4" s="11" t="s">
        <v>191</v>
      </c>
      <c r="G4" s="11" t="s">
        <v>208</v>
      </c>
    </row>
    <row r="5" spans="1:7" ht="15.75" x14ac:dyDescent="0.25">
      <c r="A5" s="16" t="s">
        <v>2</v>
      </c>
      <c r="B5" s="5">
        <v>3</v>
      </c>
      <c r="C5" s="16"/>
      <c r="D5" s="16"/>
      <c r="E5" s="17"/>
      <c r="F5" s="17">
        <f>B5*B4*12</f>
        <v>114321.59999999999</v>
      </c>
      <c r="G5" s="16"/>
    </row>
    <row r="6" spans="1:7" ht="15.75" x14ac:dyDescent="0.25">
      <c r="A6" s="16" t="s">
        <v>3</v>
      </c>
      <c r="B6" s="5">
        <v>4</v>
      </c>
      <c r="C6" s="16"/>
      <c r="D6" s="16"/>
      <c r="E6" s="17"/>
      <c r="F6" s="17">
        <v>51550.47</v>
      </c>
      <c r="G6" s="16"/>
    </row>
    <row r="7" spans="1:7" ht="15.75" x14ac:dyDescent="0.25">
      <c r="A7" s="16" t="s">
        <v>4</v>
      </c>
      <c r="B7" s="5">
        <v>3.3</v>
      </c>
      <c r="C7" s="16"/>
      <c r="D7" s="16"/>
      <c r="E7" s="17"/>
      <c r="F7" s="17">
        <f>B7*B4*12</f>
        <v>125753.76</v>
      </c>
      <c r="G7" s="16"/>
    </row>
    <row r="8" spans="1:7" ht="15.75" x14ac:dyDescent="0.25">
      <c r="A8" s="16" t="s">
        <v>5</v>
      </c>
      <c r="B8" s="5"/>
      <c r="C8" s="16"/>
      <c r="D8" s="16">
        <v>3912387.64</v>
      </c>
      <c r="E8" s="17">
        <v>373677.03</v>
      </c>
      <c r="F8" s="17"/>
      <c r="G8" s="16"/>
    </row>
    <row r="9" spans="1:7" ht="15.75" x14ac:dyDescent="0.25">
      <c r="A9" s="16" t="s">
        <v>59</v>
      </c>
      <c r="B9" s="5"/>
      <c r="C9" s="16"/>
      <c r="D9" s="16">
        <v>58518.46</v>
      </c>
      <c r="E9" s="17">
        <v>49074.04</v>
      </c>
      <c r="F9" s="17">
        <f>D9</f>
        <v>58518.46</v>
      </c>
      <c r="G9" s="16"/>
    </row>
    <row r="10" spans="1:7" ht="15.75" x14ac:dyDescent="0.25">
      <c r="A10" s="16" t="s">
        <v>6</v>
      </c>
      <c r="B10" s="5"/>
      <c r="C10" s="16"/>
      <c r="D10" s="16">
        <v>2279.62</v>
      </c>
      <c r="E10" s="17">
        <v>1923.57</v>
      </c>
      <c r="F10" s="17">
        <f>D10</f>
        <v>2279.62</v>
      </c>
      <c r="G10" s="16"/>
    </row>
    <row r="11" spans="1:7" ht="30" x14ac:dyDescent="0.25">
      <c r="A11" s="11" t="s">
        <v>7</v>
      </c>
      <c r="B11" s="5"/>
      <c r="C11" s="29">
        <v>500</v>
      </c>
      <c r="D11" s="16">
        <v>1200</v>
      </c>
      <c r="E11" s="17">
        <v>1600</v>
      </c>
      <c r="F11" s="17"/>
      <c r="G11" s="16"/>
    </row>
    <row r="12" spans="1:7" x14ac:dyDescent="0.25">
      <c r="A12" s="16" t="s">
        <v>10</v>
      </c>
      <c r="B12" s="16"/>
      <c r="C12" s="29">
        <v>45258.87</v>
      </c>
      <c r="D12" s="16">
        <f>SUM(D8:D11)</f>
        <v>3974385.72</v>
      </c>
      <c r="E12" s="17">
        <f>SUM(E8:E11)</f>
        <v>426274.64</v>
      </c>
      <c r="F12" s="17">
        <f>SUM(F5:F11)</f>
        <v>352423.91000000003</v>
      </c>
      <c r="G12" s="17">
        <f>C12+E12-F12</f>
        <v>119109.59999999998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4"/>
  <sheetViews>
    <sheetView topLeftCell="A7" workbookViewId="0">
      <selection activeCell="J14" sqref="J14"/>
    </sheetView>
  </sheetViews>
  <sheetFormatPr defaultRowHeight="15" x14ac:dyDescent="0.25"/>
  <cols>
    <col min="2" max="2" width="47" customWidth="1"/>
    <col min="3" max="3" width="9.5703125" customWidth="1"/>
    <col min="4" max="4" width="11.42578125" style="41" customWidth="1"/>
    <col min="7" max="7" width="44" bestFit="1" customWidth="1"/>
  </cols>
  <sheetData>
    <row r="3" spans="1:10" ht="15.75" x14ac:dyDescent="0.25">
      <c r="A3" s="5"/>
      <c r="B3" s="5" t="s">
        <v>117</v>
      </c>
      <c r="C3" s="5"/>
      <c r="D3" s="30"/>
      <c r="G3" s="6" t="s">
        <v>308</v>
      </c>
      <c r="H3" s="6" t="s">
        <v>309</v>
      </c>
      <c r="I3" s="6" t="s">
        <v>312</v>
      </c>
      <c r="J3" s="6" t="s">
        <v>310</v>
      </c>
    </row>
    <row r="4" spans="1:10" ht="15.75" x14ac:dyDescent="0.25">
      <c r="A4" s="13">
        <v>1</v>
      </c>
      <c r="B4" s="13" t="s">
        <v>11</v>
      </c>
      <c r="C4" s="5"/>
      <c r="D4" s="31">
        <f>D5+D13+D23+D28+D36+D44+D52+D61+D70+D75+D83+D92+D99+D106+D113+D120+D127+D137+D144+D154</f>
        <v>31377.852820688004</v>
      </c>
      <c r="G4" s="5" t="s">
        <v>317</v>
      </c>
      <c r="H4" s="5" t="s">
        <v>311</v>
      </c>
      <c r="I4" s="5">
        <v>5</v>
      </c>
      <c r="J4" s="5">
        <v>9676.84</v>
      </c>
    </row>
    <row r="5" spans="1:10" ht="15.75" x14ac:dyDescent="0.25">
      <c r="A5" s="5" t="s">
        <v>12</v>
      </c>
      <c r="B5" s="5" t="s">
        <v>224</v>
      </c>
      <c r="C5" s="5"/>
      <c r="D5" s="31">
        <f>D6+D7+D8+D11+D12</f>
        <v>847.4176212000001</v>
      </c>
      <c r="G5" s="5" t="s">
        <v>318</v>
      </c>
      <c r="H5" s="5" t="s">
        <v>311</v>
      </c>
      <c r="I5" s="5">
        <v>2</v>
      </c>
      <c r="J5" s="5">
        <v>1545.13</v>
      </c>
    </row>
    <row r="6" spans="1:10" ht="15.75" x14ac:dyDescent="0.25">
      <c r="A6" s="5"/>
      <c r="B6" s="5" t="s">
        <v>14</v>
      </c>
      <c r="C6" s="5" t="s">
        <v>107</v>
      </c>
      <c r="D6" s="31">
        <f>58.09*1*1.8</f>
        <v>104.56200000000001</v>
      </c>
      <c r="G6" s="5" t="s">
        <v>315</v>
      </c>
      <c r="H6" s="5" t="s">
        <v>313</v>
      </c>
      <c r="I6" s="5">
        <v>5</v>
      </c>
      <c r="J6" s="5">
        <v>3602.07</v>
      </c>
    </row>
    <row r="7" spans="1:10" ht="15.75" x14ac:dyDescent="0.25">
      <c r="A7" s="5"/>
      <c r="B7" s="5" t="s">
        <v>63</v>
      </c>
      <c r="C7" s="5"/>
      <c r="D7" s="31">
        <f>D6*0.303</f>
        <v>31.682286000000001</v>
      </c>
      <c r="G7" s="5" t="s">
        <v>186</v>
      </c>
      <c r="H7" s="5"/>
      <c r="I7" s="5"/>
      <c r="J7" s="5">
        <v>6262.22</v>
      </c>
    </row>
    <row r="8" spans="1:10" ht="31.5" x14ac:dyDescent="0.25">
      <c r="A8" s="5"/>
      <c r="B8" s="5" t="s">
        <v>81</v>
      </c>
      <c r="C8" s="5"/>
      <c r="D8" s="30">
        <f>D9+D10</f>
        <v>556.62</v>
      </c>
      <c r="G8" s="14" t="s">
        <v>299</v>
      </c>
      <c r="H8" s="29"/>
      <c r="I8" s="29"/>
      <c r="J8" s="7">
        <v>6182.4</v>
      </c>
    </row>
    <row r="9" spans="1:10" ht="15.75" x14ac:dyDescent="0.25">
      <c r="A9" s="5"/>
      <c r="B9" s="5" t="s">
        <v>225</v>
      </c>
      <c r="C9" s="5" t="s">
        <v>17</v>
      </c>
      <c r="D9" s="30">
        <v>539.62</v>
      </c>
      <c r="G9" s="7" t="s">
        <v>319</v>
      </c>
      <c r="H9" s="7" t="s">
        <v>320</v>
      </c>
      <c r="I9" s="7">
        <v>5</v>
      </c>
      <c r="J9" s="7">
        <v>6929.21</v>
      </c>
    </row>
    <row r="10" spans="1:10" s="15" customFormat="1" ht="15.75" x14ac:dyDescent="0.25">
      <c r="A10" s="5"/>
      <c r="B10" s="5" t="s">
        <v>160</v>
      </c>
      <c r="C10" s="5" t="s">
        <v>17</v>
      </c>
      <c r="D10" s="30">
        <v>17</v>
      </c>
      <c r="G10" s="7" t="s">
        <v>321</v>
      </c>
      <c r="H10" s="7" t="s">
        <v>313</v>
      </c>
      <c r="I10" s="7">
        <v>2</v>
      </c>
      <c r="J10" s="7">
        <v>3555.33</v>
      </c>
    </row>
    <row r="11" spans="1:10" ht="15.75" x14ac:dyDescent="0.25">
      <c r="A11" s="5"/>
      <c r="B11" s="5" t="s">
        <v>21</v>
      </c>
      <c r="C11" s="5"/>
      <c r="D11" s="31">
        <f>D6*0.421</f>
        <v>44.020602000000004</v>
      </c>
      <c r="G11" s="7" t="s">
        <v>314</v>
      </c>
      <c r="H11" s="7" t="s">
        <v>311</v>
      </c>
      <c r="I11" s="7">
        <v>4</v>
      </c>
      <c r="J11" s="7">
        <v>4755.91</v>
      </c>
    </row>
    <row r="12" spans="1:10" ht="15.75" x14ac:dyDescent="0.25">
      <c r="A12" s="5"/>
      <c r="B12" s="5" t="s">
        <v>22</v>
      </c>
      <c r="C12" s="5"/>
      <c r="D12" s="31">
        <f>(D6+D7+D8+D11)*0.15</f>
        <v>110.53273320000001</v>
      </c>
      <c r="G12" s="7" t="s">
        <v>322</v>
      </c>
      <c r="H12" s="7" t="s">
        <v>313</v>
      </c>
      <c r="I12" s="7">
        <v>1</v>
      </c>
      <c r="J12" s="7">
        <v>898.76</v>
      </c>
    </row>
    <row r="13" spans="1:10" ht="15.75" x14ac:dyDescent="0.25">
      <c r="A13" s="5" t="s">
        <v>23</v>
      </c>
      <c r="B13" s="5" t="s">
        <v>300</v>
      </c>
      <c r="C13" s="5"/>
      <c r="D13" s="40">
        <f>D14+D15+D16+D21+D22</f>
        <v>4576.1239392000007</v>
      </c>
      <c r="G13" s="7" t="s">
        <v>323</v>
      </c>
      <c r="H13" s="29"/>
      <c r="I13" s="29"/>
      <c r="J13" s="7">
        <v>8142.61</v>
      </c>
    </row>
    <row r="14" spans="1:10" ht="15.75" x14ac:dyDescent="0.25">
      <c r="A14" s="5"/>
      <c r="B14" s="5" t="s">
        <v>14</v>
      </c>
      <c r="C14" s="5" t="s">
        <v>107</v>
      </c>
      <c r="D14" s="31">
        <f>58.09*8*1.8*2</f>
        <v>1672.9920000000002</v>
      </c>
    </row>
    <row r="15" spans="1:10" ht="15.75" x14ac:dyDescent="0.25">
      <c r="A15" s="5"/>
      <c r="B15" s="5" t="s">
        <v>63</v>
      </c>
      <c r="C15" s="5"/>
      <c r="D15" s="31">
        <f>D14*0.303</f>
        <v>506.91657600000002</v>
      </c>
    </row>
    <row r="16" spans="1:10" ht="15.75" x14ac:dyDescent="0.25">
      <c r="A16" s="5"/>
      <c r="B16" s="5" t="s">
        <v>81</v>
      </c>
      <c r="C16" s="5"/>
      <c r="D16" s="30">
        <f>D17+D18+D20+D19</f>
        <v>1095</v>
      </c>
    </row>
    <row r="17" spans="1:4" ht="15.75" x14ac:dyDescent="0.25">
      <c r="A17" s="5"/>
      <c r="B17" s="5" t="s">
        <v>226</v>
      </c>
      <c r="C17" s="6" t="s">
        <v>74</v>
      </c>
      <c r="D17" s="30">
        <v>76</v>
      </c>
    </row>
    <row r="18" spans="1:4" ht="15.75" x14ac:dyDescent="0.25">
      <c r="A18" s="5"/>
      <c r="B18" s="5" t="s">
        <v>227</v>
      </c>
      <c r="C18" s="6" t="s">
        <v>17</v>
      </c>
      <c r="D18" s="30">
        <v>230</v>
      </c>
    </row>
    <row r="19" spans="1:4" s="15" customFormat="1" ht="15.75" x14ac:dyDescent="0.25">
      <c r="A19" s="5"/>
      <c r="B19" s="5" t="s">
        <v>228</v>
      </c>
      <c r="C19" s="6" t="s">
        <v>17</v>
      </c>
      <c r="D19" s="30">
        <v>104</v>
      </c>
    </row>
    <row r="20" spans="1:4" ht="15.75" x14ac:dyDescent="0.25">
      <c r="A20" s="5"/>
      <c r="B20" s="5" t="s">
        <v>229</v>
      </c>
      <c r="C20" s="28" t="s">
        <v>17</v>
      </c>
      <c r="D20" s="30">
        <v>685</v>
      </c>
    </row>
    <row r="21" spans="1:4" ht="15.75" x14ac:dyDescent="0.25">
      <c r="A21" s="5"/>
      <c r="B21" s="5" t="s">
        <v>21</v>
      </c>
      <c r="C21" s="5"/>
      <c r="D21" s="31">
        <f>D14*0.421</f>
        <v>704.32963200000006</v>
      </c>
    </row>
    <row r="22" spans="1:4" ht="15.75" x14ac:dyDescent="0.25">
      <c r="A22" s="5"/>
      <c r="B22" s="5" t="s">
        <v>22</v>
      </c>
      <c r="C22" s="5"/>
      <c r="D22" s="31">
        <f>(D14+D15+D16+D21)*0.15</f>
        <v>596.88573120000001</v>
      </c>
    </row>
    <row r="23" spans="1:4" ht="15.75" x14ac:dyDescent="0.25">
      <c r="A23" s="5" t="s">
        <v>34</v>
      </c>
      <c r="B23" s="14" t="s">
        <v>230</v>
      </c>
      <c r="C23" s="5"/>
      <c r="D23" s="31">
        <f>D24+D25+D26+D27</f>
        <v>829.21848480000006</v>
      </c>
    </row>
    <row r="24" spans="1:4" ht="15.75" x14ac:dyDescent="0.25">
      <c r="A24" s="5"/>
      <c r="B24" s="5" t="s">
        <v>14</v>
      </c>
      <c r="C24" s="5" t="s">
        <v>137</v>
      </c>
      <c r="D24" s="31">
        <f>58.09*4*1.8</f>
        <v>418.24800000000005</v>
      </c>
    </row>
    <row r="25" spans="1:4" ht="15.75" x14ac:dyDescent="0.25">
      <c r="A25" s="5"/>
      <c r="B25" s="5" t="s">
        <v>63</v>
      </c>
      <c r="C25" s="5"/>
      <c r="D25" s="31">
        <f>D24*0.303</f>
        <v>126.72914400000001</v>
      </c>
    </row>
    <row r="26" spans="1:4" ht="15.75" x14ac:dyDescent="0.25">
      <c r="A26" s="5"/>
      <c r="B26" s="5" t="s">
        <v>21</v>
      </c>
      <c r="C26" s="5"/>
      <c r="D26" s="31">
        <f>D24*0.421</f>
        <v>176.08240800000002</v>
      </c>
    </row>
    <row r="27" spans="1:4" ht="15.75" x14ac:dyDescent="0.25">
      <c r="A27" s="5"/>
      <c r="B27" s="5" t="s">
        <v>22</v>
      </c>
      <c r="C27" s="5"/>
      <c r="D27" s="31">
        <f>(D24+D25+D26)*0.15</f>
        <v>108.1589328</v>
      </c>
    </row>
    <row r="28" spans="1:4" ht="31.5" x14ac:dyDescent="0.25">
      <c r="A28" s="5" t="s">
        <v>79</v>
      </c>
      <c r="B28" s="14" t="s">
        <v>302</v>
      </c>
      <c r="C28" s="5"/>
      <c r="D28" s="31">
        <f>D29+D30+D31+D34+D35</f>
        <v>898.75924239999995</v>
      </c>
    </row>
    <row r="29" spans="1:4" ht="15.75" x14ac:dyDescent="0.25">
      <c r="A29" s="5"/>
      <c r="B29" s="5" t="s">
        <v>14</v>
      </c>
      <c r="C29" s="5" t="s">
        <v>107</v>
      </c>
      <c r="D29" s="31">
        <f>58.09*2*1.8</f>
        <v>209.12400000000002</v>
      </c>
    </row>
    <row r="30" spans="1:4" ht="15.75" x14ac:dyDescent="0.25">
      <c r="A30" s="5"/>
      <c r="B30" s="5" t="s">
        <v>63</v>
      </c>
      <c r="C30" s="5"/>
      <c r="D30" s="31">
        <f>D29*0.303</f>
        <v>63.364572000000003</v>
      </c>
    </row>
    <row r="31" spans="1:4" ht="15.75" x14ac:dyDescent="0.25">
      <c r="A31" s="5"/>
      <c r="B31" s="5" t="s">
        <v>81</v>
      </c>
      <c r="C31" s="5"/>
      <c r="D31" s="30">
        <f>D32+D33</f>
        <v>421</v>
      </c>
    </row>
    <row r="32" spans="1:4" ht="15.75" x14ac:dyDescent="0.25">
      <c r="A32" s="5"/>
      <c r="B32" s="5" t="s">
        <v>231</v>
      </c>
      <c r="C32" s="5" t="s">
        <v>17</v>
      </c>
      <c r="D32" s="30">
        <v>417</v>
      </c>
    </row>
    <row r="33" spans="1:4" s="15" customFormat="1" ht="15.75" x14ac:dyDescent="0.25">
      <c r="A33" s="5"/>
      <c r="B33" s="5" t="s">
        <v>232</v>
      </c>
      <c r="C33" s="5" t="s">
        <v>48</v>
      </c>
      <c r="D33" s="30">
        <v>4</v>
      </c>
    </row>
    <row r="34" spans="1:4" ht="15.75" x14ac:dyDescent="0.25">
      <c r="A34" s="5"/>
      <c r="B34" s="5" t="s">
        <v>21</v>
      </c>
      <c r="C34" s="5"/>
      <c r="D34" s="31">
        <f>D29*0.421</f>
        <v>88.041204000000008</v>
      </c>
    </row>
    <row r="35" spans="1:4" ht="15.75" x14ac:dyDescent="0.25">
      <c r="A35" s="5"/>
      <c r="B35" s="5" t="s">
        <v>22</v>
      </c>
      <c r="C35" s="5"/>
      <c r="D35" s="31">
        <f>(D29+D30+D31+D34)*0.15</f>
        <v>117.22946639999999</v>
      </c>
    </row>
    <row r="36" spans="1:4" ht="15.75" x14ac:dyDescent="0.25">
      <c r="A36" s="5" t="s">
        <v>83</v>
      </c>
      <c r="B36" s="5" t="s">
        <v>301</v>
      </c>
      <c r="C36" s="5"/>
      <c r="D36" s="31">
        <f>D37+D38+D39+D42+D43</f>
        <v>992.51848480000012</v>
      </c>
    </row>
    <row r="37" spans="1:4" ht="15.75" x14ac:dyDescent="0.25">
      <c r="A37" s="5"/>
      <c r="B37" s="5" t="s">
        <v>14</v>
      </c>
      <c r="C37" s="5" t="s">
        <v>137</v>
      </c>
      <c r="D37" s="31">
        <f>58.09*4*1.8</f>
        <v>418.24800000000005</v>
      </c>
    </row>
    <row r="38" spans="1:4" ht="15.75" x14ac:dyDescent="0.25">
      <c r="A38" s="5"/>
      <c r="B38" s="5" t="s">
        <v>63</v>
      </c>
      <c r="C38" s="5"/>
      <c r="D38" s="31">
        <f>D37*0.303</f>
        <v>126.72914400000001</v>
      </c>
    </row>
    <row r="39" spans="1:4" ht="15.75" x14ac:dyDescent="0.25">
      <c r="A39" s="5"/>
      <c r="B39" s="5" t="s">
        <v>81</v>
      </c>
      <c r="C39" s="5"/>
      <c r="D39" s="31">
        <f>D40+D41</f>
        <v>142</v>
      </c>
    </row>
    <row r="40" spans="1:4" ht="15.75" x14ac:dyDescent="0.25">
      <c r="A40" s="5"/>
      <c r="B40" s="5" t="s">
        <v>222</v>
      </c>
      <c r="C40" s="5" t="s">
        <v>68</v>
      </c>
      <c r="D40" s="31">
        <v>38</v>
      </c>
    </row>
    <row r="41" spans="1:4" s="15" customFormat="1" ht="15.75" x14ac:dyDescent="0.25">
      <c r="A41" s="5"/>
      <c r="B41" s="5" t="s">
        <v>233</v>
      </c>
      <c r="C41" s="5" t="s">
        <v>17</v>
      </c>
      <c r="D41" s="31">
        <v>104</v>
      </c>
    </row>
    <row r="42" spans="1:4" ht="15.75" x14ac:dyDescent="0.25">
      <c r="A42" s="5"/>
      <c r="B42" s="5" t="s">
        <v>21</v>
      </c>
      <c r="C42" s="5"/>
      <c r="D42" s="31">
        <f>D37*0.421</f>
        <v>176.08240800000002</v>
      </c>
    </row>
    <row r="43" spans="1:4" ht="15.75" x14ac:dyDescent="0.25">
      <c r="A43" s="5"/>
      <c r="B43" s="5" t="s">
        <v>22</v>
      </c>
      <c r="C43" s="5"/>
      <c r="D43" s="31">
        <f>(D37+D38+D39+D42)*0.15</f>
        <v>129.45893280000001</v>
      </c>
    </row>
    <row r="44" spans="1:4" ht="31.5" x14ac:dyDescent="0.25">
      <c r="A44" s="5" t="s">
        <v>142</v>
      </c>
      <c r="B44" s="14" t="s">
        <v>234</v>
      </c>
      <c r="C44" s="5"/>
      <c r="D44" s="31">
        <f>D45+D50+D51+D47+D46</f>
        <v>1001.1092424</v>
      </c>
    </row>
    <row r="45" spans="1:4" ht="15.75" x14ac:dyDescent="0.25">
      <c r="A45" s="5"/>
      <c r="B45" s="5" t="s">
        <v>14</v>
      </c>
      <c r="C45" s="5" t="s">
        <v>235</v>
      </c>
      <c r="D45" s="31">
        <f>58.09*2*1.8</f>
        <v>209.12400000000002</v>
      </c>
    </row>
    <row r="46" spans="1:4" s="15" customFormat="1" ht="15.75" x14ac:dyDescent="0.25">
      <c r="A46" s="5"/>
      <c r="B46" s="5" t="s">
        <v>63</v>
      </c>
      <c r="C46" s="5"/>
      <c r="D46" s="31">
        <f>D45*0.303</f>
        <v>63.364572000000003</v>
      </c>
    </row>
    <row r="47" spans="1:4" s="15" customFormat="1" ht="15.75" x14ac:dyDescent="0.25">
      <c r="A47" s="5"/>
      <c r="B47" s="5" t="s">
        <v>81</v>
      </c>
      <c r="C47" s="5"/>
      <c r="D47" s="31">
        <f>D48+D49</f>
        <v>510</v>
      </c>
    </row>
    <row r="48" spans="1:4" s="15" customFormat="1" ht="15.75" x14ac:dyDescent="0.25">
      <c r="A48" s="5"/>
      <c r="B48" s="5" t="s">
        <v>236</v>
      </c>
      <c r="C48" s="5" t="s">
        <v>17</v>
      </c>
      <c r="D48" s="31">
        <v>340</v>
      </c>
    </row>
    <row r="49" spans="1:4" s="15" customFormat="1" ht="15.75" x14ac:dyDescent="0.25">
      <c r="A49" s="5"/>
      <c r="B49" s="5" t="s">
        <v>237</v>
      </c>
      <c r="C49" s="5" t="s">
        <v>17</v>
      </c>
      <c r="D49" s="31">
        <v>170</v>
      </c>
    </row>
    <row r="50" spans="1:4" ht="15.75" x14ac:dyDescent="0.25">
      <c r="A50" s="5"/>
      <c r="B50" s="5" t="s">
        <v>21</v>
      </c>
      <c r="C50" s="5"/>
      <c r="D50" s="31">
        <f>D45*0.421</f>
        <v>88.041204000000008</v>
      </c>
    </row>
    <row r="51" spans="1:4" ht="15.75" x14ac:dyDescent="0.25">
      <c r="A51" s="5"/>
      <c r="B51" s="5" t="s">
        <v>22</v>
      </c>
      <c r="C51" s="5"/>
      <c r="D51" s="31">
        <f>(D45+D50+D46+D47)*0.15</f>
        <v>130.5794664</v>
      </c>
    </row>
    <row r="52" spans="1:4" s="15" customFormat="1" ht="15.75" x14ac:dyDescent="0.25">
      <c r="A52" s="5" t="s">
        <v>149</v>
      </c>
      <c r="B52" s="5" t="s">
        <v>238</v>
      </c>
      <c r="C52" s="5"/>
      <c r="D52" s="40">
        <f>D53+D54+D55+D59+D60</f>
        <v>2175.3277272000005</v>
      </c>
    </row>
    <row r="53" spans="1:4" s="15" customFormat="1" ht="15.75" x14ac:dyDescent="0.25">
      <c r="A53" s="5"/>
      <c r="B53" s="5" t="s">
        <v>14</v>
      </c>
      <c r="C53" s="5" t="s">
        <v>239</v>
      </c>
      <c r="D53" s="31">
        <f>58.09*6*1.8</f>
        <v>627.37200000000007</v>
      </c>
    </row>
    <row r="54" spans="1:4" s="15" customFormat="1" ht="15.75" x14ac:dyDescent="0.25">
      <c r="A54" s="5"/>
      <c r="B54" s="5" t="s">
        <v>63</v>
      </c>
      <c r="C54" s="5"/>
      <c r="D54" s="31">
        <f>D53*0.303</f>
        <v>190.09371600000003</v>
      </c>
    </row>
    <row r="55" spans="1:4" s="15" customFormat="1" ht="15.75" x14ac:dyDescent="0.25">
      <c r="A55" s="5"/>
      <c r="B55" s="5" t="s">
        <v>81</v>
      </c>
      <c r="C55" s="5"/>
      <c r="D55" s="31">
        <f>D56+D57+D58</f>
        <v>810</v>
      </c>
    </row>
    <row r="56" spans="1:4" s="15" customFormat="1" ht="15.75" x14ac:dyDescent="0.25">
      <c r="A56" s="5"/>
      <c r="B56" s="5" t="s">
        <v>240</v>
      </c>
      <c r="C56" s="5" t="s">
        <v>17</v>
      </c>
      <c r="D56" s="30">
        <v>340</v>
      </c>
    </row>
    <row r="57" spans="1:4" s="15" customFormat="1" ht="15.75" x14ac:dyDescent="0.25">
      <c r="A57" s="5"/>
      <c r="B57" s="5" t="s">
        <v>241</v>
      </c>
      <c r="C57" s="5" t="s">
        <v>48</v>
      </c>
      <c r="D57" s="30">
        <v>340</v>
      </c>
    </row>
    <row r="58" spans="1:4" s="15" customFormat="1" ht="15.75" x14ac:dyDescent="0.25">
      <c r="A58" s="5"/>
      <c r="B58" s="5" t="s">
        <v>242</v>
      </c>
      <c r="C58" s="5" t="s">
        <v>68</v>
      </c>
      <c r="D58" s="30">
        <v>130</v>
      </c>
    </row>
    <row r="59" spans="1:4" s="15" customFormat="1" ht="15.75" x14ac:dyDescent="0.25">
      <c r="A59" s="5"/>
      <c r="B59" s="5" t="s">
        <v>21</v>
      </c>
      <c r="C59" s="5"/>
      <c r="D59" s="31">
        <f>D53*0.421</f>
        <v>264.12361200000004</v>
      </c>
    </row>
    <row r="60" spans="1:4" s="15" customFormat="1" ht="15.75" x14ac:dyDescent="0.25">
      <c r="A60" s="5"/>
      <c r="B60" s="5" t="s">
        <v>22</v>
      </c>
      <c r="C60" s="5"/>
      <c r="D60" s="31">
        <f>(D53+D54+D55+D59)*0.15</f>
        <v>283.7383992</v>
      </c>
    </row>
    <row r="61" spans="1:4" s="15" customFormat="1" ht="15.75" x14ac:dyDescent="0.25">
      <c r="A61" s="5" t="s">
        <v>243</v>
      </c>
      <c r="B61" s="5" t="s">
        <v>244</v>
      </c>
      <c r="C61" s="5"/>
      <c r="D61" s="31">
        <f>D62+D63+D64+D68+D69</f>
        <v>2045.9527272000003</v>
      </c>
    </row>
    <row r="62" spans="1:4" s="15" customFormat="1" ht="15.75" x14ac:dyDescent="0.25">
      <c r="A62" s="5"/>
      <c r="B62" s="5" t="s">
        <v>14</v>
      </c>
      <c r="C62" s="5" t="s">
        <v>239</v>
      </c>
      <c r="D62" s="31">
        <f>58.09*6*1.8</f>
        <v>627.37200000000007</v>
      </c>
    </row>
    <row r="63" spans="1:4" s="15" customFormat="1" ht="15.75" x14ac:dyDescent="0.25">
      <c r="A63" s="5"/>
      <c r="B63" s="5" t="s">
        <v>63</v>
      </c>
      <c r="C63" s="5"/>
      <c r="D63" s="31">
        <f>D62*0.303</f>
        <v>190.09371600000003</v>
      </c>
    </row>
    <row r="64" spans="1:4" s="15" customFormat="1" ht="15.75" x14ac:dyDescent="0.25">
      <c r="A64" s="5"/>
      <c r="B64" s="5" t="s">
        <v>81</v>
      </c>
      <c r="C64" s="5"/>
      <c r="D64" s="31">
        <f>D65+D66+D67</f>
        <v>697.5</v>
      </c>
    </row>
    <row r="65" spans="1:4" s="15" customFormat="1" ht="15.75" x14ac:dyDescent="0.25">
      <c r="A65" s="5"/>
      <c r="B65" s="5" t="s">
        <v>245</v>
      </c>
      <c r="C65" s="5" t="s">
        <v>246</v>
      </c>
      <c r="D65" s="30">
        <v>330</v>
      </c>
    </row>
    <row r="66" spans="1:4" s="15" customFormat="1" ht="15.75" x14ac:dyDescent="0.25">
      <c r="A66" s="5"/>
      <c r="B66" s="5" t="s">
        <v>247</v>
      </c>
      <c r="C66" s="5" t="s">
        <v>248</v>
      </c>
      <c r="D66" s="30">
        <v>200</v>
      </c>
    </row>
    <row r="67" spans="1:4" s="15" customFormat="1" ht="15.75" x14ac:dyDescent="0.25">
      <c r="A67" s="5"/>
      <c r="B67" s="5" t="s">
        <v>249</v>
      </c>
      <c r="C67" s="5" t="s">
        <v>250</v>
      </c>
      <c r="D67" s="30">
        <v>167.5</v>
      </c>
    </row>
    <row r="68" spans="1:4" s="15" customFormat="1" ht="15.75" x14ac:dyDescent="0.25">
      <c r="A68" s="5"/>
      <c r="B68" s="5" t="s">
        <v>21</v>
      </c>
      <c r="C68" s="5"/>
      <c r="D68" s="31">
        <f>D62*0.421</f>
        <v>264.12361200000004</v>
      </c>
    </row>
    <row r="69" spans="1:4" s="15" customFormat="1" ht="15.75" x14ac:dyDescent="0.25">
      <c r="A69" s="5"/>
      <c r="B69" s="5" t="s">
        <v>22</v>
      </c>
      <c r="C69" s="5"/>
      <c r="D69" s="31">
        <f>(D62+D63+D64+D68)*0.15</f>
        <v>266.8633992</v>
      </c>
    </row>
    <row r="70" spans="1:4" s="15" customFormat="1" ht="15.75" x14ac:dyDescent="0.25">
      <c r="A70" s="5" t="s">
        <v>251</v>
      </c>
      <c r="B70" s="5" t="s">
        <v>252</v>
      </c>
      <c r="C70" s="5"/>
      <c r="D70" s="31">
        <f>D71+D72+D73+D74</f>
        <v>414.60924240000003</v>
      </c>
    </row>
    <row r="71" spans="1:4" s="15" customFormat="1" ht="15.75" x14ac:dyDescent="0.25">
      <c r="A71" s="5"/>
      <c r="B71" s="5" t="s">
        <v>14</v>
      </c>
      <c r="C71" s="5" t="s">
        <v>235</v>
      </c>
      <c r="D71" s="31">
        <f>58.09*2*1.8</f>
        <v>209.12400000000002</v>
      </c>
    </row>
    <row r="72" spans="1:4" s="15" customFormat="1" ht="15.75" x14ac:dyDescent="0.25">
      <c r="A72" s="5"/>
      <c r="B72" s="5" t="s">
        <v>63</v>
      </c>
      <c r="C72" s="5"/>
      <c r="D72" s="31">
        <f>D71*0.303</f>
        <v>63.364572000000003</v>
      </c>
    </row>
    <row r="73" spans="1:4" s="15" customFormat="1" ht="15.75" x14ac:dyDescent="0.25">
      <c r="A73" s="5"/>
      <c r="B73" s="5" t="s">
        <v>21</v>
      </c>
      <c r="C73" s="5"/>
      <c r="D73" s="31">
        <f>D71*0.421</f>
        <v>88.041204000000008</v>
      </c>
    </row>
    <row r="74" spans="1:4" s="15" customFormat="1" ht="15.75" x14ac:dyDescent="0.25">
      <c r="A74" s="5"/>
      <c r="B74" s="5" t="s">
        <v>22</v>
      </c>
      <c r="C74" s="5"/>
      <c r="D74" s="31">
        <f>(D71+D72+D73)*0.15</f>
        <v>54.079466400000001</v>
      </c>
    </row>
    <row r="75" spans="1:4" s="15" customFormat="1" ht="31.5" x14ac:dyDescent="0.25">
      <c r="A75" s="5" t="s">
        <v>253</v>
      </c>
      <c r="B75" s="14" t="s">
        <v>254</v>
      </c>
      <c r="C75" s="5"/>
      <c r="D75" s="31">
        <f>D76+D77+D78+D81+D82</f>
        <v>1963.6931550880004</v>
      </c>
    </row>
    <row r="76" spans="1:4" s="15" customFormat="1" ht="15.75" x14ac:dyDescent="0.25">
      <c r="A76" s="5"/>
      <c r="B76" s="5" t="s">
        <v>14</v>
      </c>
      <c r="C76" s="5" t="s">
        <v>255</v>
      </c>
      <c r="D76" s="31">
        <f>58.09*6*1.8</f>
        <v>627.37200000000007</v>
      </c>
    </row>
    <row r="77" spans="1:4" s="15" customFormat="1" ht="15.75" x14ac:dyDescent="0.25">
      <c r="A77" s="5"/>
      <c r="B77" s="5" t="s">
        <v>63</v>
      </c>
      <c r="C77" s="5"/>
      <c r="D77" s="31">
        <f>D76*0.303</f>
        <v>190.09371600000003</v>
      </c>
    </row>
    <row r="78" spans="1:4" s="15" customFormat="1" ht="15.75" x14ac:dyDescent="0.25">
      <c r="A78" s="5"/>
      <c r="B78" s="5" t="s">
        <v>81</v>
      </c>
      <c r="C78" s="5"/>
      <c r="D78" s="31">
        <f>D79+D80</f>
        <v>300.32</v>
      </c>
    </row>
    <row r="79" spans="1:4" s="15" customFormat="1" ht="15.75" x14ac:dyDescent="0.25">
      <c r="A79" s="5"/>
      <c r="B79" s="5" t="s">
        <v>256</v>
      </c>
      <c r="C79" s="5" t="s">
        <v>248</v>
      </c>
      <c r="D79" s="30">
        <v>262.32</v>
      </c>
    </row>
    <row r="80" spans="1:4" s="15" customFormat="1" ht="15.75" x14ac:dyDescent="0.25">
      <c r="A80" s="5"/>
      <c r="B80" s="5" t="s">
        <v>257</v>
      </c>
      <c r="C80" s="5" t="s">
        <v>48</v>
      </c>
      <c r="D80" s="30">
        <v>38</v>
      </c>
    </row>
    <row r="81" spans="1:4" s="15" customFormat="1" ht="15.75" x14ac:dyDescent="0.25">
      <c r="A81" s="5"/>
      <c r="B81" s="5" t="s">
        <v>21</v>
      </c>
      <c r="C81" s="5"/>
      <c r="D81" s="31">
        <f>D76*0.421</f>
        <v>264.12361200000004</v>
      </c>
    </row>
    <row r="82" spans="1:4" s="15" customFormat="1" ht="15.75" x14ac:dyDescent="0.25">
      <c r="A82" s="5"/>
      <c r="B82" s="5" t="s">
        <v>22</v>
      </c>
      <c r="C82" s="5"/>
      <c r="D82" s="31">
        <f>(D76+D77+D78+D81)*0.421</f>
        <v>581.78382708800007</v>
      </c>
    </row>
    <row r="83" spans="1:4" s="15" customFormat="1" ht="15.75" x14ac:dyDescent="0.25">
      <c r="A83" s="27" t="s">
        <v>264</v>
      </c>
      <c r="B83" s="5" t="s">
        <v>258</v>
      </c>
      <c r="C83" s="5"/>
      <c r="D83" s="31">
        <f>D84+D85+D86+D90+D91</f>
        <v>4054.0413180000005</v>
      </c>
    </row>
    <row r="84" spans="1:4" s="15" customFormat="1" ht="15.75" x14ac:dyDescent="0.25">
      <c r="A84" s="5"/>
      <c r="B84" s="5" t="s">
        <v>14</v>
      </c>
      <c r="C84" s="5" t="s">
        <v>259</v>
      </c>
      <c r="D84" s="31">
        <f>58.09*15*1.8</f>
        <v>1568.43</v>
      </c>
    </row>
    <row r="85" spans="1:4" s="15" customFormat="1" ht="15.75" x14ac:dyDescent="0.25">
      <c r="A85" s="5"/>
      <c r="B85" s="5" t="s">
        <v>63</v>
      </c>
      <c r="C85" s="5"/>
      <c r="D85" s="31">
        <f>D84*0.303</f>
        <v>475.23428999999999</v>
      </c>
    </row>
    <row r="86" spans="1:4" s="15" customFormat="1" ht="15.75" x14ac:dyDescent="0.25">
      <c r="A86" s="5"/>
      <c r="B86" s="5" t="s">
        <v>81</v>
      </c>
      <c r="C86" s="5"/>
      <c r="D86" s="31">
        <f>D87+D88+D89</f>
        <v>821.28</v>
      </c>
    </row>
    <row r="87" spans="1:4" s="15" customFormat="1" ht="15.75" x14ac:dyDescent="0.25">
      <c r="A87" s="5"/>
      <c r="B87" s="5" t="s">
        <v>245</v>
      </c>
      <c r="C87" s="5" t="s">
        <v>246</v>
      </c>
      <c r="D87" s="30">
        <v>330</v>
      </c>
    </row>
    <row r="88" spans="1:4" s="15" customFormat="1" ht="15.75" x14ac:dyDescent="0.25">
      <c r="A88" s="5"/>
      <c r="B88" s="5" t="s">
        <v>249</v>
      </c>
      <c r="C88" s="5" t="s">
        <v>260</v>
      </c>
      <c r="D88" s="30">
        <v>83.76</v>
      </c>
    </row>
    <row r="89" spans="1:4" s="15" customFormat="1" ht="15.75" x14ac:dyDescent="0.25">
      <c r="A89" s="5"/>
      <c r="B89" s="5" t="s">
        <v>261</v>
      </c>
      <c r="C89" s="5" t="s">
        <v>262</v>
      </c>
      <c r="D89" s="31">
        <v>407.52</v>
      </c>
    </row>
    <row r="90" spans="1:4" s="15" customFormat="1" ht="15.75" x14ac:dyDescent="0.25">
      <c r="A90" s="5"/>
      <c r="B90" s="5" t="s">
        <v>21</v>
      </c>
      <c r="C90" s="5"/>
      <c r="D90" s="31">
        <f>D84*0.421</f>
        <v>660.30903000000001</v>
      </c>
    </row>
    <row r="91" spans="1:4" s="15" customFormat="1" ht="15.75" x14ac:dyDescent="0.25">
      <c r="A91" s="5"/>
      <c r="B91" s="5" t="s">
        <v>22</v>
      </c>
      <c r="C91" s="5"/>
      <c r="D91" s="31">
        <f>(D84+D85+D86+D90)*0.15</f>
        <v>528.78799800000002</v>
      </c>
    </row>
    <row r="92" spans="1:4" s="15" customFormat="1" ht="15.75" x14ac:dyDescent="0.25">
      <c r="A92" s="5" t="s">
        <v>265</v>
      </c>
      <c r="B92" s="5" t="s">
        <v>263</v>
      </c>
      <c r="C92" s="5"/>
      <c r="D92" s="31">
        <f>D93+D94+D95+D97+D98</f>
        <v>271.03762119999999</v>
      </c>
    </row>
    <row r="93" spans="1:4" s="15" customFormat="1" ht="15.75" x14ac:dyDescent="0.25">
      <c r="A93" s="5"/>
      <c r="B93" s="5" t="s">
        <v>14</v>
      </c>
      <c r="C93" s="5" t="s">
        <v>266</v>
      </c>
      <c r="D93" s="31">
        <f>58.09*1.8</f>
        <v>104.56200000000001</v>
      </c>
    </row>
    <row r="94" spans="1:4" s="15" customFormat="1" ht="15.75" x14ac:dyDescent="0.25">
      <c r="A94" s="5"/>
      <c r="B94" s="5" t="s">
        <v>63</v>
      </c>
      <c r="C94" s="5"/>
      <c r="D94" s="31">
        <f>D93*0.303</f>
        <v>31.682286000000001</v>
      </c>
    </row>
    <row r="95" spans="1:4" s="15" customFormat="1" ht="15.75" x14ac:dyDescent="0.25">
      <c r="A95" s="5"/>
      <c r="B95" s="5" t="s">
        <v>81</v>
      </c>
      <c r="C95" s="5"/>
      <c r="D95" s="31">
        <f>D96</f>
        <v>55.42</v>
      </c>
    </row>
    <row r="96" spans="1:4" s="15" customFormat="1" ht="15.75" x14ac:dyDescent="0.25">
      <c r="A96" s="5"/>
      <c r="B96" s="5" t="s">
        <v>267</v>
      </c>
      <c r="C96" s="5" t="s">
        <v>48</v>
      </c>
      <c r="D96" s="31">
        <v>55.42</v>
      </c>
    </row>
    <row r="97" spans="1:4" s="15" customFormat="1" ht="15.75" x14ac:dyDescent="0.25">
      <c r="A97" s="5"/>
      <c r="B97" s="5" t="s">
        <v>21</v>
      </c>
      <c r="C97" s="5"/>
      <c r="D97" s="31">
        <f>D93*0.421</f>
        <v>44.020602000000004</v>
      </c>
    </row>
    <row r="98" spans="1:4" s="15" customFormat="1" ht="15.75" x14ac:dyDescent="0.25">
      <c r="A98" s="5"/>
      <c r="B98" s="5" t="s">
        <v>22</v>
      </c>
      <c r="C98" s="5"/>
      <c r="D98" s="31">
        <f>(D93+D94+D95+D97)*0.15</f>
        <v>35.352733199999996</v>
      </c>
    </row>
    <row r="99" spans="1:4" s="15" customFormat="1" ht="15.75" x14ac:dyDescent="0.25">
      <c r="A99" s="5" t="s">
        <v>268</v>
      </c>
      <c r="B99" s="5" t="s">
        <v>82</v>
      </c>
      <c r="C99" s="5"/>
      <c r="D99" s="31">
        <f>D100+D101+D102+D104+D105</f>
        <v>552.60924240000008</v>
      </c>
    </row>
    <row r="100" spans="1:4" s="15" customFormat="1" ht="15.75" x14ac:dyDescent="0.25">
      <c r="A100" s="5"/>
      <c r="B100" s="5" t="s">
        <v>14</v>
      </c>
      <c r="C100" s="5" t="s">
        <v>235</v>
      </c>
      <c r="D100" s="31">
        <f>58.09*2*1.8</f>
        <v>209.12400000000002</v>
      </c>
    </row>
    <row r="101" spans="1:4" s="15" customFormat="1" ht="15.75" x14ac:dyDescent="0.25">
      <c r="A101" s="5"/>
      <c r="B101" s="5" t="s">
        <v>63</v>
      </c>
      <c r="C101" s="5"/>
      <c r="D101" s="31">
        <f>D100*0.303</f>
        <v>63.364572000000003</v>
      </c>
    </row>
    <row r="102" spans="1:4" s="15" customFormat="1" ht="15.75" x14ac:dyDescent="0.25">
      <c r="A102" s="5"/>
      <c r="B102" s="5" t="s">
        <v>81</v>
      </c>
      <c r="C102" s="5"/>
      <c r="D102" s="31">
        <f>D103</f>
        <v>120</v>
      </c>
    </row>
    <row r="103" spans="1:4" s="15" customFormat="1" ht="15.75" x14ac:dyDescent="0.25">
      <c r="A103" s="5"/>
      <c r="B103" s="5" t="s">
        <v>269</v>
      </c>
      <c r="C103" s="5" t="s">
        <v>248</v>
      </c>
      <c r="D103" s="31">
        <v>120</v>
      </c>
    </row>
    <row r="104" spans="1:4" s="15" customFormat="1" ht="15.75" x14ac:dyDescent="0.25">
      <c r="A104" s="5"/>
      <c r="B104" s="5" t="s">
        <v>21</v>
      </c>
      <c r="C104" s="5"/>
      <c r="D104" s="31">
        <f>D100*0.421</f>
        <v>88.041204000000008</v>
      </c>
    </row>
    <row r="105" spans="1:4" s="15" customFormat="1" ht="15.75" x14ac:dyDescent="0.25">
      <c r="A105" s="5"/>
      <c r="B105" s="5" t="s">
        <v>22</v>
      </c>
      <c r="C105" s="5"/>
      <c r="D105" s="31">
        <f>(D100+D101+D102+D104)*0.15</f>
        <v>72.079466400000001</v>
      </c>
    </row>
    <row r="106" spans="1:4" s="15" customFormat="1" ht="15.75" x14ac:dyDescent="0.25">
      <c r="A106" s="5" t="s">
        <v>271</v>
      </c>
      <c r="B106" s="5" t="s">
        <v>270</v>
      </c>
      <c r="C106" s="5"/>
      <c r="D106" s="31">
        <f>D107+D108+D109+D111+D112</f>
        <v>827.86762120000003</v>
      </c>
    </row>
    <row r="107" spans="1:4" s="15" customFormat="1" ht="15.75" x14ac:dyDescent="0.25">
      <c r="A107" s="5"/>
      <c r="B107" s="5" t="s">
        <v>14</v>
      </c>
      <c r="C107" s="5" t="s">
        <v>72</v>
      </c>
      <c r="D107" s="31">
        <f>58.09*1.8</f>
        <v>104.56200000000001</v>
      </c>
    </row>
    <row r="108" spans="1:4" s="15" customFormat="1" ht="15.75" x14ac:dyDescent="0.25">
      <c r="A108" s="5"/>
      <c r="B108" s="5" t="s">
        <v>63</v>
      </c>
      <c r="C108" s="5"/>
      <c r="D108" s="31">
        <f>D107*0.303</f>
        <v>31.682286000000001</v>
      </c>
    </row>
    <row r="109" spans="1:4" s="15" customFormat="1" ht="15.75" x14ac:dyDescent="0.25">
      <c r="A109" s="5"/>
      <c r="B109" s="5" t="s">
        <v>81</v>
      </c>
      <c r="C109" s="5"/>
      <c r="D109" s="31">
        <f>D110</f>
        <v>539.62</v>
      </c>
    </row>
    <row r="110" spans="1:4" s="15" customFormat="1" ht="15.75" x14ac:dyDescent="0.25">
      <c r="A110" s="5"/>
      <c r="B110" s="14" t="s">
        <v>272</v>
      </c>
      <c r="C110" s="5" t="s">
        <v>17</v>
      </c>
      <c r="D110" s="31">
        <v>539.62</v>
      </c>
    </row>
    <row r="111" spans="1:4" s="15" customFormat="1" ht="15.75" x14ac:dyDescent="0.25">
      <c r="A111" s="5"/>
      <c r="B111" s="5" t="s">
        <v>21</v>
      </c>
      <c r="C111" s="5"/>
      <c r="D111" s="31">
        <f>D107*0.421</f>
        <v>44.020602000000004</v>
      </c>
    </row>
    <row r="112" spans="1:4" s="15" customFormat="1" ht="15.75" x14ac:dyDescent="0.25">
      <c r="A112" s="5"/>
      <c r="B112" s="5" t="s">
        <v>22</v>
      </c>
      <c r="C112" s="5"/>
      <c r="D112" s="31">
        <f>(D107+D108+D109+D111)*0.15</f>
        <v>107.9827332</v>
      </c>
    </row>
    <row r="113" spans="1:4" s="15" customFormat="1" ht="15.75" x14ac:dyDescent="0.25">
      <c r="A113" s="5" t="s">
        <v>274</v>
      </c>
      <c r="B113" s="5" t="s">
        <v>273</v>
      </c>
      <c r="C113" s="5"/>
      <c r="D113" s="31">
        <f>D114+D115+D116+D118+D119</f>
        <v>2554.2184848000002</v>
      </c>
    </row>
    <row r="114" spans="1:4" s="15" customFormat="1" ht="15.75" x14ac:dyDescent="0.25">
      <c r="A114" s="5"/>
      <c r="B114" s="5" t="s">
        <v>14</v>
      </c>
      <c r="C114" s="5" t="s">
        <v>137</v>
      </c>
      <c r="D114" s="31">
        <f>58.09*4*1.8</f>
        <v>418.24800000000005</v>
      </c>
    </row>
    <row r="115" spans="1:4" s="15" customFormat="1" ht="15.75" x14ac:dyDescent="0.25">
      <c r="A115" s="5"/>
      <c r="B115" s="5" t="s">
        <v>63</v>
      </c>
      <c r="C115" s="5"/>
      <c r="D115" s="31">
        <f>D114*0.303</f>
        <v>126.72914400000001</v>
      </c>
    </row>
    <row r="116" spans="1:4" s="15" customFormat="1" ht="15.75" x14ac:dyDescent="0.25">
      <c r="A116" s="5"/>
      <c r="B116" s="5" t="s">
        <v>81</v>
      </c>
      <c r="C116" s="5"/>
      <c r="D116" s="31">
        <f>D117</f>
        <v>1500</v>
      </c>
    </row>
    <row r="117" spans="1:4" s="15" customFormat="1" ht="15.75" x14ac:dyDescent="0.25">
      <c r="A117" s="5"/>
      <c r="B117" s="5" t="s">
        <v>275</v>
      </c>
      <c r="C117" s="5" t="s">
        <v>17</v>
      </c>
      <c r="D117" s="31">
        <v>1500</v>
      </c>
    </row>
    <row r="118" spans="1:4" s="15" customFormat="1" ht="15.75" x14ac:dyDescent="0.25">
      <c r="A118" s="5"/>
      <c r="B118" s="5" t="s">
        <v>21</v>
      </c>
      <c r="C118" s="5"/>
      <c r="D118" s="31">
        <f>D114*0.421</f>
        <v>176.08240800000002</v>
      </c>
    </row>
    <row r="119" spans="1:4" s="15" customFormat="1" ht="15.75" x14ac:dyDescent="0.25">
      <c r="A119" s="5"/>
      <c r="B119" s="5" t="s">
        <v>22</v>
      </c>
      <c r="C119" s="5"/>
      <c r="D119" s="31">
        <f>(D114+D115+D116+D118)*0.15</f>
        <v>333.1589328</v>
      </c>
    </row>
    <row r="120" spans="1:4" s="15" customFormat="1" ht="15.75" x14ac:dyDescent="0.25">
      <c r="A120" s="5" t="s">
        <v>277</v>
      </c>
      <c r="B120" s="5" t="s">
        <v>276</v>
      </c>
      <c r="C120" s="5"/>
      <c r="D120" s="31">
        <f>D121+D122+D123+D125+D126</f>
        <v>827.86762120000003</v>
      </c>
    </row>
    <row r="121" spans="1:4" s="15" customFormat="1" ht="15.75" x14ac:dyDescent="0.25">
      <c r="A121" s="5"/>
      <c r="B121" s="5" t="s">
        <v>14</v>
      </c>
      <c r="C121" s="5" t="s">
        <v>72</v>
      </c>
      <c r="D121" s="31">
        <f>58.09*1.8</f>
        <v>104.56200000000001</v>
      </c>
    </row>
    <row r="122" spans="1:4" s="15" customFormat="1" ht="15.75" x14ac:dyDescent="0.25">
      <c r="A122" s="5"/>
      <c r="B122" s="5" t="s">
        <v>63</v>
      </c>
      <c r="C122" s="5"/>
      <c r="D122" s="31">
        <f>D121*0.303</f>
        <v>31.682286000000001</v>
      </c>
    </row>
    <row r="123" spans="1:4" s="15" customFormat="1" ht="15.75" x14ac:dyDescent="0.25">
      <c r="A123" s="5"/>
      <c r="B123" s="5" t="s">
        <v>81</v>
      </c>
      <c r="C123" s="5"/>
      <c r="D123" s="31">
        <f>D124</f>
        <v>539.62</v>
      </c>
    </row>
    <row r="124" spans="1:4" s="15" customFormat="1" ht="15.75" x14ac:dyDescent="0.25">
      <c r="A124" s="5"/>
      <c r="B124" s="5" t="s">
        <v>278</v>
      </c>
      <c r="C124" s="5" t="s">
        <v>17</v>
      </c>
      <c r="D124" s="31">
        <v>539.62</v>
      </c>
    </row>
    <row r="125" spans="1:4" s="15" customFormat="1" ht="15.75" x14ac:dyDescent="0.25">
      <c r="A125" s="5"/>
      <c r="B125" s="5" t="s">
        <v>21</v>
      </c>
      <c r="C125" s="5"/>
      <c r="D125" s="31">
        <f>D121*0.421</f>
        <v>44.020602000000004</v>
      </c>
    </row>
    <row r="126" spans="1:4" s="15" customFormat="1" ht="15.75" x14ac:dyDescent="0.25">
      <c r="A126" s="5"/>
      <c r="B126" s="5" t="s">
        <v>22</v>
      </c>
      <c r="C126" s="5"/>
      <c r="D126" s="31">
        <f>(D121+D122+D123+D125)*0.15</f>
        <v>107.9827332</v>
      </c>
    </row>
    <row r="127" spans="1:4" s="15" customFormat="1" ht="15.75" x14ac:dyDescent="0.25">
      <c r="A127" s="5" t="s">
        <v>280</v>
      </c>
      <c r="B127" s="5" t="s">
        <v>279</v>
      </c>
      <c r="C127" s="5"/>
      <c r="D127" s="31">
        <f>D128+D129+D130+D135+D136</f>
        <v>2509.0577272000005</v>
      </c>
    </row>
    <row r="128" spans="1:4" s="15" customFormat="1" ht="15.75" x14ac:dyDescent="0.25">
      <c r="A128" s="5"/>
      <c r="B128" s="5" t="s">
        <v>14</v>
      </c>
      <c r="C128" s="5" t="s">
        <v>239</v>
      </c>
      <c r="D128" s="31">
        <f>58.09*6*1.8</f>
        <v>627.37200000000007</v>
      </c>
    </row>
    <row r="129" spans="1:4" s="15" customFormat="1" ht="15.75" x14ac:dyDescent="0.25">
      <c r="A129" s="5"/>
      <c r="B129" s="5" t="s">
        <v>63</v>
      </c>
      <c r="C129" s="5"/>
      <c r="D129" s="31">
        <f>D128*0.303</f>
        <v>190.09371600000003</v>
      </c>
    </row>
    <row r="130" spans="1:4" s="15" customFormat="1" ht="15.75" x14ac:dyDescent="0.25">
      <c r="A130" s="5"/>
      <c r="B130" s="5" t="s">
        <v>81</v>
      </c>
      <c r="C130" s="5"/>
      <c r="D130" s="31">
        <f>D131+D132+D133+D134</f>
        <v>1100.2</v>
      </c>
    </row>
    <row r="131" spans="1:4" s="15" customFormat="1" ht="15.75" x14ac:dyDescent="0.25">
      <c r="A131" s="5"/>
      <c r="B131" s="5" t="s">
        <v>281</v>
      </c>
      <c r="C131" s="5" t="s">
        <v>48</v>
      </c>
      <c r="D131" s="31">
        <v>340</v>
      </c>
    </row>
    <row r="132" spans="1:4" s="15" customFormat="1" ht="15.75" x14ac:dyDescent="0.25">
      <c r="A132" s="5"/>
      <c r="B132" s="5" t="s">
        <v>282</v>
      </c>
      <c r="C132" s="5" t="s">
        <v>17</v>
      </c>
      <c r="D132" s="31">
        <v>434.2</v>
      </c>
    </row>
    <row r="133" spans="1:4" s="15" customFormat="1" ht="15.75" x14ac:dyDescent="0.25">
      <c r="A133" s="5"/>
      <c r="B133" s="5" t="s">
        <v>283</v>
      </c>
      <c r="C133" s="5" t="s">
        <v>68</v>
      </c>
      <c r="D133" s="31">
        <v>290</v>
      </c>
    </row>
    <row r="134" spans="1:4" s="15" customFormat="1" ht="15.75" x14ac:dyDescent="0.25">
      <c r="A134" s="5"/>
      <c r="B134" s="5" t="s">
        <v>284</v>
      </c>
      <c r="C134" s="5" t="s">
        <v>29</v>
      </c>
      <c r="D134" s="31">
        <v>36</v>
      </c>
    </row>
    <row r="135" spans="1:4" s="15" customFormat="1" ht="15.75" x14ac:dyDescent="0.25">
      <c r="A135" s="5"/>
      <c r="B135" s="5" t="s">
        <v>21</v>
      </c>
      <c r="C135" s="5"/>
      <c r="D135" s="31">
        <f>D128*0.421</f>
        <v>264.12361200000004</v>
      </c>
    </row>
    <row r="136" spans="1:4" s="15" customFormat="1" ht="15.75" x14ac:dyDescent="0.25">
      <c r="A136" s="5"/>
      <c r="B136" s="5" t="s">
        <v>22</v>
      </c>
      <c r="C136" s="5"/>
      <c r="D136" s="31">
        <f>(D128+D129+D130+D135)*0.15</f>
        <v>327.26839920000003</v>
      </c>
    </row>
    <row r="137" spans="1:4" s="15" customFormat="1" ht="15.75" x14ac:dyDescent="0.25">
      <c r="A137" s="5" t="s">
        <v>286</v>
      </c>
      <c r="B137" s="5" t="s">
        <v>285</v>
      </c>
      <c r="C137" s="5"/>
      <c r="D137" s="31">
        <f>D138+D139+D140+D142+D143</f>
        <v>827.86762120000003</v>
      </c>
    </row>
    <row r="138" spans="1:4" s="15" customFormat="1" ht="15.75" x14ac:dyDescent="0.25">
      <c r="A138" s="5"/>
      <c r="B138" s="5" t="s">
        <v>14</v>
      </c>
      <c r="C138" s="5" t="s">
        <v>72</v>
      </c>
      <c r="D138" s="31">
        <f>58.09*1.8</f>
        <v>104.56200000000001</v>
      </c>
    </row>
    <row r="139" spans="1:4" s="15" customFormat="1" ht="15.75" x14ac:dyDescent="0.25">
      <c r="A139" s="5"/>
      <c r="B139" s="5" t="s">
        <v>63</v>
      </c>
      <c r="C139" s="5"/>
      <c r="D139" s="31">
        <f>D138*0.303</f>
        <v>31.682286000000001</v>
      </c>
    </row>
    <row r="140" spans="1:4" s="15" customFormat="1" ht="15.75" x14ac:dyDescent="0.25">
      <c r="A140" s="5"/>
      <c r="B140" s="5" t="s">
        <v>81</v>
      </c>
      <c r="C140" s="5"/>
      <c r="D140" s="31">
        <f>D141</f>
        <v>539.62</v>
      </c>
    </row>
    <row r="141" spans="1:4" s="15" customFormat="1" ht="15.75" x14ac:dyDescent="0.25">
      <c r="A141" s="5"/>
      <c r="B141" s="5" t="s">
        <v>278</v>
      </c>
      <c r="C141" s="5" t="s">
        <v>17</v>
      </c>
      <c r="D141" s="31">
        <v>539.62</v>
      </c>
    </row>
    <row r="142" spans="1:4" s="15" customFormat="1" ht="15.75" x14ac:dyDescent="0.25">
      <c r="A142" s="5"/>
      <c r="B142" s="5" t="s">
        <v>21</v>
      </c>
      <c r="C142" s="5"/>
      <c r="D142" s="31">
        <f>D138*0.421</f>
        <v>44.020602000000004</v>
      </c>
    </row>
    <row r="143" spans="1:4" s="15" customFormat="1" ht="15.75" x14ac:dyDescent="0.25">
      <c r="A143" s="5"/>
      <c r="B143" s="5" t="s">
        <v>22</v>
      </c>
      <c r="C143" s="5"/>
      <c r="D143" s="31">
        <f>(D138+D139+D140+D142)*0.15</f>
        <v>107.9827332</v>
      </c>
    </row>
    <row r="144" spans="1:4" s="15" customFormat="1" ht="15.75" x14ac:dyDescent="0.25">
      <c r="A144" s="5" t="s">
        <v>288</v>
      </c>
      <c r="B144" s="5" t="s">
        <v>287</v>
      </c>
      <c r="C144" s="5"/>
      <c r="D144" s="31">
        <f>D145+D146+D147+D152+D153</f>
        <v>2792.2214544000008</v>
      </c>
    </row>
    <row r="145" spans="1:4" s="15" customFormat="1" ht="15.75" x14ac:dyDescent="0.25">
      <c r="A145" s="5"/>
      <c r="B145" s="5" t="s">
        <v>14</v>
      </c>
      <c r="C145" s="5" t="s">
        <v>24</v>
      </c>
      <c r="D145" s="31">
        <f>58.09*12*1.8</f>
        <v>1254.7440000000001</v>
      </c>
    </row>
    <row r="146" spans="1:4" s="15" customFormat="1" ht="15.75" x14ac:dyDescent="0.25">
      <c r="A146" s="5"/>
      <c r="B146" s="5" t="s">
        <v>63</v>
      </c>
      <c r="C146" s="5"/>
      <c r="D146" s="31">
        <f>D145*0.303</f>
        <v>380.18743200000006</v>
      </c>
    </row>
    <row r="147" spans="1:4" s="15" customFormat="1" ht="15.75" x14ac:dyDescent="0.25">
      <c r="A147" s="5"/>
      <c r="B147" s="5" t="s">
        <v>81</v>
      </c>
      <c r="C147" s="5"/>
      <c r="D147" s="31">
        <f>D148+D149+D150+D151</f>
        <v>264.84000000000003</v>
      </c>
    </row>
    <row r="148" spans="1:4" s="15" customFormat="1" ht="15.75" x14ac:dyDescent="0.25">
      <c r="A148" s="5"/>
      <c r="B148" s="5" t="s">
        <v>289</v>
      </c>
      <c r="C148" s="5" t="s">
        <v>17</v>
      </c>
      <c r="D148" s="31">
        <v>30</v>
      </c>
    </row>
    <row r="149" spans="1:4" s="15" customFormat="1" ht="15.75" x14ac:dyDescent="0.25">
      <c r="A149" s="5"/>
      <c r="B149" s="5" t="s">
        <v>290</v>
      </c>
      <c r="C149" s="5" t="s">
        <v>17</v>
      </c>
      <c r="D149" s="31">
        <v>1</v>
      </c>
    </row>
    <row r="150" spans="1:4" s="15" customFormat="1" ht="15.75" x14ac:dyDescent="0.25">
      <c r="A150" s="5"/>
      <c r="B150" s="5" t="s">
        <v>291</v>
      </c>
      <c r="C150" s="5" t="s">
        <v>48</v>
      </c>
      <c r="D150" s="31">
        <v>214.84</v>
      </c>
    </row>
    <row r="151" spans="1:4" s="15" customFormat="1" ht="15.75" x14ac:dyDescent="0.25">
      <c r="A151" s="5"/>
      <c r="B151" s="5" t="s">
        <v>292</v>
      </c>
      <c r="C151" s="5" t="s">
        <v>17</v>
      </c>
      <c r="D151" s="31">
        <v>19</v>
      </c>
    </row>
    <row r="152" spans="1:4" s="15" customFormat="1" ht="15.75" x14ac:dyDescent="0.25">
      <c r="A152" s="5"/>
      <c r="B152" s="5" t="s">
        <v>21</v>
      </c>
      <c r="C152" s="5"/>
      <c r="D152" s="31">
        <f>D145*0.421</f>
        <v>528.24722400000007</v>
      </c>
    </row>
    <row r="153" spans="1:4" s="15" customFormat="1" ht="15.75" x14ac:dyDescent="0.25">
      <c r="A153" s="5"/>
      <c r="B153" s="5" t="s">
        <v>22</v>
      </c>
      <c r="C153" s="5"/>
      <c r="D153" s="31">
        <f>(D145+D146+D147+D152)*0.15</f>
        <v>364.20279840000006</v>
      </c>
    </row>
    <row r="154" spans="1:4" s="15" customFormat="1" ht="31.5" x14ac:dyDescent="0.25">
      <c r="A154" s="5" t="s">
        <v>294</v>
      </c>
      <c r="B154" s="14" t="s">
        <v>293</v>
      </c>
      <c r="C154" s="5"/>
      <c r="D154" s="31">
        <f>D155+D156+D157+D159+D160</f>
        <v>416.33424240000005</v>
      </c>
    </row>
    <row r="155" spans="1:4" s="15" customFormat="1" ht="15.75" x14ac:dyDescent="0.25">
      <c r="A155" s="5"/>
      <c r="B155" s="5" t="s">
        <v>14</v>
      </c>
      <c r="C155" s="5" t="s">
        <v>235</v>
      </c>
      <c r="D155" s="31">
        <f>58.09*2*1.8</f>
        <v>209.12400000000002</v>
      </c>
    </row>
    <row r="156" spans="1:4" s="15" customFormat="1" ht="15.75" x14ac:dyDescent="0.25">
      <c r="A156" s="5"/>
      <c r="B156" s="5" t="s">
        <v>63</v>
      </c>
      <c r="C156" s="5"/>
      <c r="D156" s="31">
        <f>D155*0.303</f>
        <v>63.364572000000003</v>
      </c>
    </row>
    <row r="157" spans="1:4" s="15" customFormat="1" ht="15.75" x14ac:dyDescent="0.25">
      <c r="A157" s="5"/>
      <c r="B157" s="5" t="s">
        <v>81</v>
      </c>
      <c r="C157" s="5"/>
      <c r="D157" s="31">
        <f>D158</f>
        <v>1.5</v>
      </c>
    </row>
    <row r="158" spans="1:4" s="15" customFormat="1" ht="15.75" x14ac:dyDescent="0.25">
      <c r="A158" s="5"/>
      <c r="B158" s="5" t="s">
        <v>295</v>
      </c>
      <c r="C158" s="5" t="s">
        <v>68</v>
      </c>
      <c r="D158" s="31">
        <v>1.5</v>
      </c>
    </row>
    <row r="159" spans="1:4" s="15" customFormat="1" ht="15.75" x14ac:dyDescent="0.25">
      <c r="A159" s="5"/>
      <c r="B159" s="5" t="s">
        <v>21</v>
      </c>
      <c r="C159" s="5"/>
      <c r="D159" s="31">
        <f>D155*0.421</f>
        <v>88.041204000000008</v>
      </c>
    </row>
    <row r="160" spans="1:4" s="15" customFormat="1" ht="15.75" x14ac:dyDescent="0.25">
      <c r="A160" s="5"/>
      <c r="B160" s="5" t="s">
        <v>22</v>
      </c>
      <c r="C160" s="5"/>
      <c r="D160" s="31">
        <f>(D155+D156+D157+D159)*0.15</f>
        <v>54.304466400000003</v>
      </c>
    </row>
    <row r="161" spans="1:4" ht="15.75" x14ac:dyDescent="0.25">
      <c r="A161" s="5"/>
      <c r="B161" s="5"/>
      <c r="C161" s="5"/>
      <c r="D161" s="31"/>
    </row>
    <row r="162" spans="1:4" ht="15.75" x14ac:dyDescent="0.25">
      <c r="A162" s="5"/>
      <c r="B162" s="5" t="s">
        <v>154</v>
      </c>
      <c r="C162" s="5"/>
      <c r="D162" s="31">
        <v>4861.97</v>
      </c>
    </row>
    <row r="163" spans="1:4" s="15" customFormat="1" ht="15.75" x14ac:dyDescent="0.25">
      <c r="A163" s="5"/>
      <c r="B163" s="5" t="s">
        <v>216</v>
      </c>
      <c r="C163" s="5"/>
      <c r="D163" s="31">
        <f>D162*0.12</f>
        <v>583.43640000000005</v>
      </c>
    </row>
    <row r="164" spans="1:4" s="15" customFormat="1" ht="15.75" x14ac:dyDescent="0.25">
      <c r="A164" s="5"/>
      <c r="B164" s="16" t="s">
        <v>127</v>
      </c>
      <c r="C164" s="5"/>
      <c r="D164" s="31">
        <f>(D162+D163)*0.15</f>
        <v>816.81095999999991</v>
      </c>
    </row>
    <row r="165" spans="1:4" s="15" customFormat="1" ht="15.75" x14ac:dyDescent="0.25">
      <c r="A165" s="5"/>
      <c r="B165" s="5" t="s">
        <v>10</v>
      </c>
      <c r="C165" s="5"/>
      <c r="D165" s="31">
        <f>SUM(D162:D164)</f>
        <v>6262.2173599999996</v>
      </c>
    </row>
    <row r="166" spans="1:4" s="15" customFormat="1" ht="15.75" x14ac:dyDescent="0.25">
      <c r="A166" s="5"/>
      <c r="B166" s="5" t="s">
        <v>296</v>
      </c>
      <c r="C166" s="5" t="s">
        <v>303</v>
      </c>
      <c r="D166" s="31">
        <v>4800</v>
      </c>
    </row>
    <row r="167" spans="1:4" s="15" customFormat="1" ht="15.75" x14ac:dyDescent="0.25">
      <c r="A167" s="5"/>
      <c r="B167" s="5" t="s">
        <v>216</v>
      </c>
      <c r="C167" s="5"/>
      <c r="D167" s="31">
        <f>D166*0.12</f>
        <v>576</v>
      </c>
    </row>
    <row r="168" spans="1:4" s="15" customFormat="1" ht="15.75" x14ac:dyDescent="0.25">
      <c r="A168" s="5"/>
      <c r="B168" s="16" t="s">
        <v>127</v>
      </c>
      <c r="C168" s="5"/>
      <c r="D168" s="31">
        <f>(D166+D167)*0.15</f>
        <v>806.4</v>
      </c>
    </row>
    <row r="169" spans="1:4" s="15" customFormat="1" ht="15.75" x14ac:dyDescent="0.25">
      <c r="A169" s="5"/>
      <c r="B169" s="5" t="s">
        <v>10</v>
      </c>
      <c r="C169" s="5"/>
      <c r="D169" s="31">
        <f>SUM(D166:D168)</f>
        <v>6182.4</v>
      </c>
    </row>
    <row r="170" spans="1:4" s="15" customFormat="1" ht="15.75" x14ac:dyDescent="0.25">
      <c r="A170" s="5"/>
      <c r="B170" s="5" t="s">
        <v>297</v>
      </c>
      <c r="C170" s="5"/>
      <c r="D170" s="31">
        <v>6000</v>
      </c>
    </row>
    <row r="171" spans="1:4" ht="15.75" x14ac:dyDescent="0.25">
      <c r="A171" s="5"/>
      <c r="B171" s="5" t="s">
        <v>216</v>
      </c>
      <c r="C171" s="5"/>
      <c r="D171" s="31">
        <f>D170*0.12</f>
        <v>720</v>
      </c>
    </row>
    <row r="172" spans="1:4" ht="15.75" x14ac:dyDescent="0.25">
      <c r="A172" s="5"/>
      <c r="B172" s="16" t="s">
        <v>127</v>
      </c>
      <c r="C172" s="5"/>
      <c r="D172" s="31">
        <f>(D170+D171)*0.15</f>
        <v>1008</v>
      </c>
    </row>
    <row r="173" spans="1:4" ht="15.75" x14ac:dyDescent="0.25">
      <c r="A173" s="5"/>
      <c r="B173" s="5" t="s">
        <v>10</v>
      </c>
      <c r="C173" s="5"/>
      <c r="D173" s="31">
        <f>SUM(D170:D172)</f>
        <v>7728</v>
      </c>
    </row>
    <row r="174" spans="1:4" ht="15.75" x14ac:dyDescent="0.25">
      <c r="A174" s="5"/>
      <c r="B174" s="5" t="s">
        <v>179</v>
      </c>
      <c r="C174" s="5"/>
      <c r="D174" s="31">
        <f>D173+D4+D169+D165</f>
        <v>51550.470180688004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"/>
  <sheetViews>
    <sheetView workbookViewId="0">
      <selection activeCell="L17" sqref="L17"/>
    </sheetView>
  </sheetViews>
  <sheetFormatPr defaultRowHeight="15" x14ac:dyDescent="0.25"/>
  <cols>
    <col min="1" max="1" width="34.42578125" customWidth="1"/>
    <col min="3" max="3" width="11.28515625" customWidth="1"/>
    <col min="4" max="4" width="9.85546875" customWidth="1"/>
    <col min="5" max="5" width="10.5703125" customWidth="1"/>
    <col min="6" max="6" width="9.85546875" customWidth="1"/>
    <col min="7" max="7" width="11.140625" customWidth="1"/>
  </cols>
  <sheetData>
    <row r="5" spans="1:7" ht="45" x14ac:dyDescent="0.25">
      <c r="A5" s="29" t="s">
        <v>0</v>
      </c>
      <c r="B5" s="29">
        <v>146.69999999999999</v>
      </c>
      <c r="C5" s="11" t="s">
        <v>1</v>
      </c>
      <c r="D5" s="11" t="s">
        <v>189</v>
      </c>
      <c r="E5" s="11" t="s">
        <v>218</v>
      </c>
      <c r="F5" s="11" t="s">
        <v>191</v>
      </c>
      <c r="G5" s="11" t="s">
        <v>208</v>
      </c>
    </row>
    <row r="6" spans="1:7" x14ac:dyDescent="0.25">
      <c r="A6" s="29" t="s">
        <v>2</v>
      </c>
      <c r="B6" s="29">
        <v>1.8</v>
      </c>
      <c r="C6" s="29"/>
      <c r="D6" s="29"/>
      <c r="E6" s="29"/>
      <c r="F6" s="29">
        <f>B6*B5*12</f>
        <v>3168.7200000000003</v>
      </c>
      <c r="G6" s="29"/>
    </row>
    <row r="7" spans="1:7" x14ac:dyDescent="0.25">
      <c r="A7" s="29" t="s">
        <v>3</v>
      </c>
      <c r="B7" s="29">
        <v>4.04</v>
      </c>
      <c r="C7" s="29"/>
      <c r="D7" s="29"/>
      <c r="E7" s="29"/>
      <c r="F7" s="29"/>
      <c r="G7" s="29"/>
    </row>
    <row r="8" spans="1:7" x14ac:dyDescent="0.25">
      <c r="A8" s="29" t="s">
        <v>4</v>
      </c>
      <c r="B8" s="29">
        <v>4.9800000000000004</v>
      </c>
      <c r="C8" s="29"/>
      <c r="D8" s="29"/>
      <c r="E8" s="29"/>
      <c r="F8" s="29">
        <f>B8*B5*12</f>
        <v>8766.7920000000013</v>
      </c>
      <c r="G8" s="29"/>
    </row>
    <row r="9" spans="1:7" x14ac:dyDescent="0.25">
      <c r="A9" s="29" t="s">
        <v>10</v>
      </c>
      <c r="B9" s="29">
        <f>SUM(B6:B8)</f>
        <v>10.82</v>
      </c>
      <c r="C9" s="29">
        <v>-2152.0500000000002</v>
      </c>
      <c r="D9" s="29">
        <v>19047.599999999999</v>
      </c>
      <c r="E9" s="29">
        <v>16195.16</v>
      </c>
      <c r="F9" s="29">
        <v>16195.16</v>
      </c>
      <c r="G9" s="29">
        <f>C9+E9-F9</f>
        <v>-2152.0499999999993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I11" sqref="I11"/>
    </sheetView>
  </sheetViews>
  <sheetFormatPr defaultRowHeight="15.75" x14ac:dyDescent="0.25"/>
  <cols>
    <col min="1" max="1" width="9.140625" style="4"/>
    <col min="2" max="2" width="36.85546875" style="4" customWidth="1"/>
    <col min="3" max="3" width="9.140625" style="4"/>
    <col min="4" max="4" width="9.5703125" style="32" bestFit="1" customWidth="1"/>
    <col min="6" max="6" width="52.28515625" style="4" bestFit="1" customWidth="1"/>
    <col min="7" max="7" width="9.140625" style="4"/>
    <col min="8" max="8" width="10.5703125" style="4" customWidth="1"/>
    <col min="9" max="9" width="9.140625" style="4"/>
  </cols>
  <sheetData>
    <row r="1" spans="1:9" x14ac:dyDescent="0.25">
      <c r="A1" s="5"/>
      <c r="B1" s="5" t="s">
        <v>117</v>
      </c>
      <c r="C1" s="5"/>
      <c r="D1" s="30"/>
      <c r="F1" s="6" t="s">
        <v>308</v>
      </c>
      <c r="G1" s="6" t="s">
        <v>309</v>
      </c>
      <c r="H1" s="6" t="s">
        <v>312</v>
      </c>
      <c r="I1" s="6" t="s">
        <v>310</v>
      </c>
    </row>
    <row r="2" spans="1:9" x14ac:dyDescent="0.25">
      <c r="A2" s="13">
        <v>1</v>
      </c>
      <c r="B2" s="13" t="s">
        <v>11</v>
      </c>
      <c r="C2" s="5"/>
      <c r="D2" s="31">
        <f>D3+D11+D23+D41+D58+D65</f>
        <v>42575.518877200011</v>
      </c>
      <c r="F2" s="5" t="s">
        <v>82</v>
      </c>
      <c r="G2" s="5" t="s">
        <v>311</v>
      </c>
      <c r="H2" s="5">
        <v>74</v>
      </c>
      <c r="I2" s="5">
        <v>37925.42</v>
      </c>
    </row>
    <row r="3" spans="1:9" x14ac:dyDescent="0.25">
      <c r="A3" s="5" t="s">
        <v>12</v>
      </c>
      <c r="B3" s="5" t="s">
        <v>13</v>
      </c>
      <c r="C3" s="5"/>
      <c r="D3" s="31">
        <f>D4+D6+D9+D10+D5</f>
        <v>2042.4219696000002</v>
      </c>
      <c r="F3" s="5" t="s">
        <v>314</v>
      </c>
      <c r="G3" s="5" t="s">
        <v>311</v>
      </c>
      <c r="H3" s="5">
        <v>2</v>
      </c>
      <c r="I3" s="5">
        <v>3723.43</v>
      </c>
    </row>
    <row r="4" spans="1:9" x14ac:dyDescent="0.25">
      <c r="A4" s="5"/>
      <c r="B4" s="5" t="s">
        <v>19</v>
      </c>
      <c r="C4" s="8" t="s">
        <v>18</v>
      </c>
      <c r="D4" s="31">
        <f>58.09*8*1.8</f>
        <v>836.49600000000009</v>
      </c>
      <c r="F4" s="5" t="s">
        <v>315</v>
      </c>
      <c r="G4" s="5" t="s">
        <v>313</v>
      </c>
      <c r="H4" s="5">
        <v>2</v>
      </c>
      <c r="I4" s="5">
        <v>926.66</v>
      </c>
    </row>
    <row r="5" spans="1:9" s="9" customFormat="1" x14ac:dyDescent="0.25">
      <c r="A5" s="5"/>
      <c r="B5" s="5" t="s">
        <v>63</v>
      </c>
      <c r="C5" s="8"/>
      <c r="D5" s="31">
        <f>D4*0.303</f>
        <v>253.45828800000001</v>
      </c>
      <c r="F5" s="5" t="s">
        <v>186</v>
      </c>
      <c r="G5" s="5"/>
      <c r="H5" s="5"/>
      <c r="I5" s="5">
        <v>6383.15</v>
      </c>
    </row>
    <row r="6" spans="1:9" x14ac:dyDescent="0.25">
      <c r="A6" s="5"/>
      <c r="B6" s="5" t="s">
        <v>15</v>
      </c>
      <c r="C6" s="5"/>
      <c r="D6" s="30">
        <f>SUM(D7:D8)</f>
        <v>333.9</v>
      </c>
      <c r="F6" s="5" t="s">
        <v>298</v>
      </c>
      <c r="G6" s="5"/>
      <c r="H6" s="5"/>
      <c r="I6" s="5">
        <v>25244.799999999999</v>
      </c>
    </row>
    <row r="7" spans="1:9" x14ac:dyDescent="0.25">
      <c r="A7" s="5"/>
      <c r="B7" s="5" t="s">
        <v>16</v>
      </c>
      <c r="C7" s="6" t="s">
        <v>17</v>
      </c>
      <c r="D7" s="30">
        <v>98</v>
      </c>
      <c r="E7" s="3"/>
      <c r="F7" s="14" t="s">
        <v>299</v>
      </c>
      <c r="G7" s="5"/>
      <c r="H7" s="5"/>
      <c r="I7" s="5">
        <v>2318.4</v>
      </c>
    </row>
    <row r="8" spans="1:9" x14ac:dyDescent="0.25">
      <c r="A8" s="5"/>
      <c r="B8" s="7" t="s">
        <v>20</v>
      </c>
      <c r="C8" s="6" t="s">
        <v>17</v>
      </c>
      <c r="D8" s="30">
        <v>235.9</v>
      </c>
    </row>
    <row r="9" spans="1:9" x14ac:dyDescent="0.25">
      <c r="A9" s="5"/>
      <c r="B9" s="5" t="s">
        <v>21</v>
      </c>
      <c r="C9" s="8"/>
      <c r="D9" s="31">
        <f>D4*0.421</f>
        <v>352.16481600000003</v>
      </c>
    </row>
    <row r="10" spans="1:9" x14ac:dyDescent="0.25">
      <c r="A10" s="5"/>
      <c r="B10" s="5" t="s">
        <v>22</v>
      </c>
      <c r="C10" s="8"/>
      <c r="D10" s="31">
        <f>(D5+D6+D9+D4)*0.15</f>
        <v>266.40286560000004</v>
      </c>
    </row>
    <row r="11" spans="1:9" x14ac:dyDescent="0.25">
      <c r="A11" s="5" t="s">
        <v>23</v>
      </c>
      <c r="B11" s="5" t="s">
        <v>187</v>
      </c>
      <c r="C11" s="5"/>
      <c r="D11" s="30">
        <f>D12+D14+D21+D22+D13</f>
        <v>3723.4339544000009</v>
      </c>
    </row>
    <row r="12" spans="1:9" x14ac:dyDescent="0.25">
      <c r="A12" s="5"/>
      <c r="B12" s="5" t="s">
        <v>19</v>
      </c>
      <c r="C12" s="5" t="s">
        <v>24</v>
      </c>
      <c r="D12" s="30">
        <f>58.09*12*1.8</f>
        <v>1254.7440000000001</v>
      </c>
    </row>
    <row r="13" spans="1:9" s="9" customFormat="1" x14ac:dyDescent="0.25">
      <c r="A13" s="5"/>
      <c r="B13" s="5" t="s">
        <v>63</v>
      </c>
      <c r="C13" s="5"/>
      <c r="D13" s="30">
        <f>D12*0.303</f>
        <v>380.18743200000006</v>
      </c>
      <c r="F13" s="4"/>
      <c r="G13" s="4"/>
      <c r="H13" s="4"/>
      <c r="I13" s="4"/>
    </row>
    <row r="14" spans="1:9" x14ac:dyDescent="0.25">
      <c r="A14" s="5"/>
      <c r="B14" s="5" t="s">
        <v>25</v>
      </c>
      <c r="C14" s="5"/>
      <c r="D14" s="30">
        <f>SUM(D15:D20)</f>
        <v>1074.5900000000001</v>
      </c>
    </row>
    <row r="15" spans="1:9" x14ac:dyDescent="0.25">
      <c r="A15" s="5"/>
      <c r="B15" s="5" t="s">
        <v>26</v>
      </c>
      <c r="C15" s="5" t="s">
        <v>27</v>
      </c>
      <c r="D15" s="30">
        <v>323.95999999999998</v>
      </c>
    </row>
    <row r="16" spans="1:9" x14ac:dyDescent="0.25">
      <c r="A16" s="5"/>
      <c r="B16" s="5" t="s">
        <v>28</v>
      </c>
      <c r="C16" s="5" t="s">
        <v>29</v>
      </c>
      <c r="D16" s="30">
        <v>117.48</v>
      </c>
    </row>
    <row r="17" spans="1:9" x14ac:dyDescent="0.25">
      <c r="A17" s="5"/>
      <c r="B17" s="5" t="s">
        <v>30</v>
      </c>
      <c r="C17" s="5" t="s">
        <v>17</v>
      </c>
      <c r="D17" s="30">
        <v>465.69</v>
      </c>
    </row>
    <row r="18" spans="1:9" x14ac:dyDescent="0.25">
      <c r="A18" s="5"/>
      <c r="B18" s="5" t="s">
        <v>31</v>
      </c>
      <c r="C18" s="5" t="s">
        <v>17</v>
      </c>
      <c r="D18" s="30">
        <v>56.7</v>
      </c>
    </row>
    <row r="19" spans="1:9" x14ac:dyDescent="0.25">
      <c r="A19" s="5"/>
      <c r="B19" s="5" t="s">
        <v>32</v>
      </c>
      <c r="C19" s="5" t="s">
        <v>17</v>
      </c>
      <c r="D19" s="30">
        <v>25</v>
      </c>
    </row>
    <row r="20" spans="1:9" x14ac:dyDescent="0.25">
      <c r="A20" s="5"/>
      <c r="B20" s="5" t="s">
        <v>33</v>
      </c>
      <c r="C20" s="5" t="s">
        <v>17</v>
      </c>
      <c r="D20" s="30">
        <v>85.76</v>
      </c>
    </row>
    <row r="21" spans="1:9" x14ac:dyDescent="0.25">
      <c r="A21" s="5"/>
      <c r="B21" s="5" t="s">
        <v>21</v>
      </c>
      <c r="C21" s="5"/>
      <c r="D21" s="30">
        <f>D12*0.421</f>
        <v>528.24722400000007</v>
      </c>
    </row>
    <row r="22" spans="1:9" x14ac:dyDescent="0.25">
      <c r="A22" s="5"/>
      <c r="B22" s="5" t="s">
        <v>22</v>
      </c>
      <c r="C22" s="5"/>
      <c r="D22" s="30">
        <f>(D12+D14+D21+D13)*0.15</f>
        <v>485.6652984000001</v>
      </c>
    </row>
    <row r="23" spans="1:9" ht="31.5" x14ac:dyDescent="0.25">
      <c r="A23" s="5" t="s">
        <v>34</v>
      </c>
      <c r="B23" s="14" t="s">
        <v>35</v>
      </c>
      <c r="C23" s="5"/>
      <c r="D23" s="31">
        <f>D24+D26+D39+D40+D25</f>
        <v>26787.443635200005</v>
      </c>
    </row>
    <row r="24" spans="1:9" x14ac:dyDescent="0.25">
      <c r="A24" s="5"/>
      <c r="B24" s="5" t="s">
        <v>19</v>
      </c>
      <c r="C24" s="5" t="s">
        <v>182</v>
      </c>
      <c r="D24" s="30">
        <f>58.09*96*1.8</f>
        <v>10037.952000000001</v>
      </c>
    </row>
    <row r="25" spans="1:9" s="9" customFormat="1" x14ac:dyDescent="0.25">
      <c r="A25" s="5"/>
      <c r="B25" s="5" t="s">
        <v>63</v>
      </c>
      <c r="C25" s="5"/>
      <c r="D25" s="30">
        <f>D24*0.303</f>
        <v>3041.4994560000005</v>
      </c>
      <c r="F25" s="4"/>
      <c r="G25" s="4"/>
      <c r="H25" s="4"/>
      <c r="I25" s="4"/>
    </row>
    <row r="26" spans="1:9" x14ac:dyDescent="0.25">
      <c r="A26" s="5"/>
      <c r="B26" s="5" t="s">
        <v>25</v>
      </c>
      <c r="C26" s="5"/>
      <c r="D26" s="30">
        <f>SUM(D27:D38)</f>
        <v>5988</v>
      </c>
    </row>
    <row r="27" spans="1:9" x14ac:dyDescent="0.25">
      <c r="A27" s="5"/>
      <c r="B27" s="5" t="s">
        <v>36</v>
      </c>
      <c r="C27" s="5" t="s">
        <v>17</v>
      </c>
      <c r="D27" s="30">
        <v>195</v>
      </c>
    </row>
    <row r="28" spans="1:9" x14ac:dyDescent="0.25">
      <c r="A28" s="5"/>
      <c r="B28" s="5" t="s">
        <v>37</v>
      </c>
      <c r="C28" s="5" t="s">
        <v>38</v>
      </c>
      <c r="D28" s="30">
        <v>2500</v>
      </c>
    </row>
    <row r="29" spans="1:9" x14ac:dyDescent="0.25">
      <c r="A29" s="5"/>
      <c r="B29" s="5" t="s">
        <v>39</v>
      </c>
      <c r="C29" s="5" t="s">
        <v>40</v>
      </c>
      <c r="D29" s="30">
        <v>198</v>
      </c>
    </row>
    <row r="30" spans="1:9" x14ac:dyDescent="0.25">
      <c r="A30" s="5"/>
      <c r="B30" s="5" t="s">
        <v>41</v>
      </c>
      <c r="C30" s="5" t="s">
        <v>42</v>
      </c>
      <c r="D30" s="30">
        <v>75</v>
      </c>
    </row>
    <row r="31" spans="1:9" x14ac:dyDescent="0.25">
      <c r="A31" s="5"/>
      <c r="B31" s="5" t="s">
        <v>43</v>
      </c>
      <c r="C31" s="5" t="s">
        <v>44</v>
      </c>
      <c r="D31" s="30">
        <v>1700</v>
      </c>
    </row>
    <row r="32" spans="1:9" x14ac:dyDescent="0.25">
      <c r="A32" s="5"/>
      <c r="B32" s="5" t="s">
        <v>45</v>
      </c>
      <c r="C32" s="5" t="s">
        <v>46</v>
      </c>
      <c r="D32" s="30">
        <v>120</v>
      </c>
    </row>
    <row r="33" spans="1:9" x14ac:dyDescent="0.25">
      <c r="A33" s="5"/>
      <c r="B33" s="5" t="s">
        <v>47</v>
      </c>
      <c r="C33" s="5" t="s">
        <v>48</v>
      </c>
      <c r="D33" s="30">
        <v>60</v>
      </c>
    </row>
    <row r="34" spans="1:9" x14ac:dyDescent="0.25">
      <c r="A34" s="5"/>
      <c r="B34" s="5" t="s">
        <v>49</v>
      </c>
      <c r="C34" s="5" t="s">
        <v>50</v>
      </c>
      <c r="D34" s="30">
        <v>70</v>
      </c>
    </row>
    <row r="35" spans="1:9" x14ac:dyDescent="0.25">
      <c r="A35" s="5"/>
      <c r="B35" s="5" t="s">
        <v>51</v>
      </c>
      <c r="C35" s="5" t="s">
        <v>52</v>
      </c>
      <c r="D35" s="30">
        <v>120</v>
      </c>
    </row>
    <row r="36" spans="1:9" x14ac:dyDescent="0.25">
      <c r="A36" s="5"/>
      <c r="B36" s="5" t="s">
        <v>53</v>
      </c>
      <c r="C36" s="5" t="s">
        <v>54</v>
      </c>
      <c r="D36" s="30">
        <v>770</v>
      </c>
    </row>
    <row r="37" spans="1:9" x14ac:dyDescent="0.25">
      <c r="A37" s="5"/>
      <c r="B37" s="5" t="s">
        <v>55</v>
      </c>
      <c r="C37" s="5" t="s">
        <v>56</v>
      </c>
      <c r="D37" s="30">
        <v>130</v>
      </c>
    </row>
    <row r="38" spans="1:9" x14ac:dyDescent="0.25">
      <c r="A38" s="5"/>
      <c r="B38" s="5" t="s">
        <v>57</v>
      </c>
      <c r="C38" s="5" t="s">
        <v>48</v>
      </c>
      <c r="D38" s="30">
        <v>50</v>
      </c>
    </row>
    <row r="39" spans="1:9" x14ac:dyDescent="0.25">
      <c r="A39" s="5"/>
      <c r="B39" s="5" t="s">
        <v>21</v>
      </c>
      <c r="C39" s="5"/>
      <c r="D39" s="30">
        <f>D24*0.421</f>
        <v>4225.9777920000006</v>
      </c>
    </row>
    <row r="40" spans="1:9" x14ac:dyDescent="0.25">
      <c r="A40" s="5"/>
      <c r="B40" s="5" t="s">
        <v>22</v>
      </c>
      <c r="C40" s="5"/>
      <c r="D40" s="30">
        <f>(D24+D26+D39+D25)*0.15</f>
        <v>3494.0143872000003</v>
      </c>
    </row>
    <row r="41" spans="1:9" s="15" customFormat="1" ht="31.5" x14ac:dyDescent="0.25">
      <c r="A41" s="27" t="s">
        <v>79</v>
      </c>
      <c r="B41" s="14" t="s">
        <v>35</v>
      </c>
      <c r="C41" s="5"/>
      <c r="D41" s="31">
        <f>D42+D43+D44+D56+D57</f>
        <v>9095.5554544000006</v>
      </c>
      <c r="F41" s="4"/>
      <c r="G41" s="4"/>
      <c r="H41" s="4"/>
      <c r="I41" s="4"/>
    </row>
    <row r="42" spans="1:9" s="15" customFormat="1" x14ac:dyDescent="0.25">
      <c r="A42" s="5"/>
      <c r="B42" s="5" t="s">
        <v>19</v>
      </c>
      <c r="C42" s="5" t="s">
        <v>143</v>
      </c>
      <c r="D42" s="30">
        <f>58.09*12*1.8</f>
        <v>1254.7440000000001</v>
      </c>
      <c r="F42" s="4"/>
      <c r="G42" s="4"/>
      <c r="H42" s="4"/>
      <c r="I42" s="4"/>
    </row>
    <row r="43" spans="1:9" s="15" customFormat="1" x14ac:dyDescent="0.25">
      <c r="A43" s="5"/>
      <c r="B43" s="5" t="s">
        <v>63</v>
      </c>
      <c r="C43" s="5"/>
      <c r="D43" s="31">
        <f>D42*0.303</f>
        <v>380.18743200000006</v>
      </c>
      <c r="F43" s="4"/>
      <c r="G43" s="4"/>
      <c r="H43" s="4"/>
      <c r="I43" s="4"/>
    </row>
    <row r="44" spans="1:9" s="15" customFormat="1" x14ac:dyDescent="0.25">
      <c r="A44" s="5"/>
      <c r="B44" s="5" t="s">
        <v>25</v>
      </c>
      <c r="C44" s="5"/>
      <c r="D44" s="30">
        <f>SUM(D45:D55)</f>
        <v>5746</v>
      </c>
      <c r="F44" s="4"/>
      <c r="G44" s="4"/>
      <c r="H44" s="4"/>
      <c r="I44" s="4"/>
    </row>
    <row r="45" spans="1:9" s="15" customFormat="1" x14ac:dyDescent="0.25">
      <c r="A45" s="5"/>
      <c r="B45" s="5" t="s">
        <v>192</v>
      </c>
      <c r="C45" s="5" t="s">
        <v>48</v>
      </c>
      <c r="D45" s="30">
        <v>20</v>
      </c>
      <c r="F45" s="4"/>
      <c r="G45" s="4"/>
      <c r="H45" s="4"/>
      <c r="I45" s="4"/>
    </row>
    <row r="46" spans="1:9" s="15" customFormat="1" x14ac:dyDescent="0.25">
      <c r="A46" s="5"/>
      <c r="B46" s="5" t="s">
        <v>193</v>
      </c>
      <c r="C46" s="5" t="s">
        <v>48</v>
      </c>
      <c r="D46" s="30">
        <v>1310</v>
      </c>
      <c r="F46" s="4"/>
      <c r="G46" s="4"/>
      <c r="H46" s="4"/>
      <c r="I46" s="4"/>
    </row>
    <row r="47" spans="1:9" s="15" customFormat="1" x14ac:dyDescent="0.25">
      <c r="A47" s="5"/>
      <c r="B47" s="5" t="s">
        <v>194</v>
      </c>
      <c r="C47" s="5" t="s">
        <v>29</v>
      </c>
      <c r="D47" s="30">
        <v>505</v>
      </c>
      <c r="F47" s="4"/>
      <c r="G47" s="4"/>
      <c r="H47" s="4"/>
      <c r="I47" s="4"/>
    </row>
    <row r="48" spans="1:9" s="15" customFormat="1" x14ac:dyDescent="0.25">
      <c r="A48" s="5"/>
      <c r="B48" s="5" t="s">
        <v>195</v>
      </c>
      <c r="C48" s="5" t="s">
        <v>40</v>
      </c>
      <c r="D48" s="30">
        <v>528</v>
      </c>
      <c r="F48" s="4"/>
      <c r="G48" s="4"/>
      <c r="H48" s="4"/>
      <c r="I48" s="4"/>
    </row>
    <row r="49" spans="1:9" s="15" customFormat="1" x14ac:dyDescent="0.25">
      <c r="A49" s="5"/>
      <c r="B49" s="5" t="s">
        <v>196</v>
      </c>
      <c r="C49" s="5" t="s">
        <v>29</v>
      </c>
      <c r="D49" s="30">
        <v>294</v>
      </c>
      <c r="F49" s="4"/>
      <c r="G49" s="4"/>
      <c r="H49" s="4"/>
      <c r="I49" s="4"/>
    </row>
    <row r="50" spans="1:9" s="15" customFormat="1" x14ac:dyDescent="0.25">
      <c r="A50" s="5"/>
      <c r="B50" s="5" t="s">
        <v>197</v>
      </c>
      <c r="C50" s="5" t="s">
        <v>29</v>
      </c>
      <c r="D50" s="30">
        <v>225</v>
      </c>
      <c r="F50" s="4"/>
      <c r="G50" s="4"/>
      <c r="H50" s="4"/>
      <c r="I50" s="4"/>
    </row>
    <row r="51" spans="1:9" s="15" customFormat="1" x14ac:dyDescent="0.25">
      <c r="A51" s="5"/>
      <c r="B51" s="5" t="s">
        <v>198</v>
      </c>
      <c r="C51" s="5" t="s">
        <v>199</v>
      </c>
      <c r="D51" s="30">
        <v>1200</v>
      </c>
      <c r="F51" s="4"/>
      <c r="G51" s="4"/>
      <c r="H51" s="4"/>
      <c r="I51" s="4"/>
    </row>
    <row r="52" spans="1:9" s="15" customFormat="1" x14ac:dyDescent="0.25">
      <c r="A52" s="5"/>
      <c r="B52" s="5" t="s">
        <v>37</v>
      </c>
      <c r="C52" s="5" t="s">
        <v>200</v>
      </c>
      <c r="D52" s="30">
        <v>1280</v>
      </c>
      <c r="F52" s="4"/>
      <c r="G52" s="4"/>
      <c r="H52" s="4"/>
      <c r="I52" s="4"/>
    </row>
    <row r="53" spans="1:9" s="15" customFormat="1" x14ac:dyDescent="0.25">
      <c r="A53" s="5"/>
      <c r="B53" s="5" t="s">
        <v>201</v>
      </c>
      <c r="C53" s="5" t="s">
        <v>167</v>
      </c>
      <c r="D53" s="30">
        <v>300</v>
      </c>
      <c r="F53" s="4"/>
      <c r="G53" s="4"/>
      <c r="H53" s="4"/>
      <c r="I53" s="4"/>
    </row>
    <row r="54" spans="1:9" s="15" customFormat="1" x14ac:dyDescent="0.25">
      <c r="A54" s="5"/>
      <c r="B54" s="5" t="s">
        <v>202</v>
      </c>
      <c r="C54" s="5" t="s">
        <v>131</v>
      </c>
      <c r="D54" s="30">
        <v>80</v>
      </c>
      <c r="F54" s="4"/>
      <c r="G54" s="4"/>
      <c r="H54" s="4"/>
      <c r="I54" s="4"/>
    </row>
    <row r="55" spans="1:9" s="15" customFormat="1" x14ac:dyDescent="0.25">
      <c r="A55" s="5"/>
      <c r="B55" s="5" t="s">
        <v>203</v>
      </c>
      <c r="C55" s="5" t="s">
        <v>48</v>
      </c>
      <c r="D55" s="30">
        <v>4</v>
      </c>
      <c r="F55" s="4"/>
      <c r="G55" s="4"/>
      <c r="H55" s="4"/>
      <c r="I55" s="4"/>
    </row>
    <row r="56" spans="1:9" s="15" customFormat="1" x14ac:dyDescent="0.25">
      <c r="A56" s="5"/>
      <c r="B56" s="5" t="s">
        <v>21</v>
      </c>
      <c r="C56" s="5"/>
      <c r="D56" s="30">
        <f>D42*0.421</f>
        <v>528.24722400000007</v>
      </c>
      <c r="F56" s="4"/>
      <c r="G56" s="4"/>
      <c r="H56" s="4"/>
      <c r="I56" s="4"/>
    </row>
    <row r="57" spans="1:9" s="15" customFormat="1" x14ac:dyDescent="0.25">
      <c r="A57" s="5"/>
      <c r="B57" s="5" t="s">
        <v>22</v>
      </c>
      <c r="C57" s="5"/>
      <c r="D57" s="30">
        <f>(D42+D43+D44+D56)*0.15</f>
        <v>1186.3767983999999</v>
      </c>
      <c r="F57" s="4"/>
      <c r="G57" s="4"/>
      <c r="H57" s="4"/>
      <c r="I57" s="4"/>
    </row>
    <row r="58" spans="1:9" s="15" customFormat="1" x14ac:dyDescent="0.25">
      <c r="A58" s="5" t="s">
        <v>83</v>
      </c>
      <c r="B58" s="5" t="s">
        <v>204</v>
      </c>
      <c r="C58" s="5"/>
      <c r="D58" s="31">
        <f>D59+D60+D61+D63+D64</f>
        <v>699.8092423999999</v>
      </c>
      <c r="F58" s="4"/>
      <c r="G58" s="4"/>
      <c r="H58" s="4"/>
      <c r="I58" s="4"/>
    </row>
    <row r="59" spans="1:9" s="15" customFormat="1" x14ac:dyDescent="0.25">
      <c r="A59" s="5"/>
      <c r="B59" s="5" t="s">
        <v>19</v>
      </c>
      <c r="C59" s="5" t="s">
        <v>107</v>
      </c>
      <c r="D59" s="31">
        <f>58.09*2*1.8</f>
        <v>209.12400000000002</v>
      </c>
      <c r="F59" s="4"/>
      <c r="G59" s="4"/>
      <c r="H59" s="4"/>
      <c r="I59" s="4"/>
    </row>
    <row r="60" spans="1:9" s="15" customFormat="1" x14ac:dyDescent="0.25">
      <c r="A60" s="5"/>
      <c r="B60" s="5" t="s">
        <v>63</v>
      </c>
      <c r="C60" s="5"/>
      <c r="D60" s="31">
        <f>D59*0.303</f>
        <v>63.364572000000003</v>
      </c>
      <c r="F60" s="4"/>
      <c r="G60" s="4"/>
      <c r="H60" s="4"/>
      <c r="I60" s="4"/>
    </row>
    <row r="61" spans="1:9" s="15" customFormat="1" x14ac:dyDescent="0.25">
      <c r="A61" s="5"/>
      <c r="B61" s="5" t="s">
        <v>25</v>
      </c>
      <c r="C61" s="5"/>
      <c r="D61" s="30">
        <f>D62</f>
        <v>248</v>
      </c>
      <c r="F61" s="4"/>
      <c r="G61" s="4"/>
      <c r="H61" s="4"/>
      <c r="I61" s="4"/>
    </row>
    <row r="62" spans="1:9" s="15" customFormat="1" x14ac:dyDescent="0.25">
      <c r="A62" s="5"/>
      <c r="B62" s="5" t="s">
        <v>205</v>
      </c>
      <c r="C62" s="5" t="s">
        <v>17</v>
      </c>
      <c r="D62" s="30">
        <v>248</v>
      </c>
      <c r="F62" s="4"/>
      <c r="G62" s="4"/>
      <c r="H62" s="4"/>
      <c r="I62" s="4"/>
    </row>
    <row r="63" spans="1:9" s="15" customFormat="1" x14ac:dyDescent="0.25">
      <c r="A63" s="5"/>
      <c r="B63" s="5" t="s">
        <v>21</v>
      </c>
      <c r="C63" s="5"/>
      <c r="D63" s="31">
        <f>D59*0.421</f>
        <v>88.041204000000008</v>
      </c>
      <c r="F63" s="4"/>
      <c r="G63" s="4"/>
      <c r="H63" s="4"/>
      <c r="I63" s="4"/>
    </row>
    <row r="64" spans="1:9" s="15" customFormat="1" x14ac:dyDescent="0.25">
      <c r="A64" s="5"/>
      <c r="B64" s="5" t="s">
        <v>22</v>
      </c>
      <c r="C64" s="5"/>
      <c r="D64" s="31">
        <f>(D59+D60+D61+D63)*0.15</f>
        <v>91.27946639999999</v>
      </c>
      <c r="F64" s="4"/>
      <c r="G64" s="4"/>
      <c r="H64" s="4"/>
      <c r="I64" s="4"/>
    </row>
    <row r="65" spans="1:9" s="15" customFormat="1" ht="31.5" x14ac:dyDescent="0.25">
      <c r="A65" s="5" t="s">
        <v>142</v>
      </c>
      <c r="B65" s="14" t="s">
        <v>206</v>
      </c>
      <c r="C65" s="5"/>
      <c r="D65" s="31">
        <f>D66+D67+D68+D70+D71</f>
        <v>226.85462120000003</v>
      </c>
      <c r="F65" s="4"/>
      <c r="G65" s="4"/>
      <c r="H65" s="4"/>
      <c r="I65" s="4"/>
    </row>
    <row r="66" spans="1:9" s="15" customFormat="1" x14ac:dyDescent="0.25">
      <c r="A66" s="5"/>
      <c r="B66" s="5" t="s">
        <v>19</v>
      </c>
      <c r="C66" s="5" t="s">
        <v>72</v>
      </c>
      <c r="D66" s="31">
        <f>58.09*1*1.8</f>
        <v>104.56200000000001</v>
      </c>
      <c r="F66" s="4"/>
      <c r="G66" s="4"/>
      <c r="H66" s="4"/>
      <c r="I66" s="4"/>
    </row>
    <row r="67" spans="1:9" s="15" customFormat="1" x14ac:dyDescent="0.25">
      <c r="A67" s="5"/>
      <c r="B67" s="5" t="s">
        <v>63</v>
      </c>
      <c r="C67" s="5"/>
      <c r="D67" s="31">
        <f>D66*0.303</f>
        <v>31.682286000000001</v>
      </c>
      <c r="F67" s="4"/>
      <c r="G67" s="4"/>
      <c r="H67" s="4"/>
      <c r="I67" s="4"/>
    </row>
    <row r="68" spans="1:9" s="15" customFormat="1" x14ac:dyDescent="0.25">
      <c r="A68" s="5"/>
      <c r="B68" s="5" t="s">
        <v>25</v>
      </c>
      <c r="C68" s="5"/>
      <c r="D68" s="31">
        <f>D69</f>
        <v>17</v>
      </c>
      <c r="F68" s="4"/>
      <c r="G68" s="4"/>
      <c r="H68" s="4"/>
      <c r="I68" s="4"/>
    </row>
    <row r="69" spans="1:9" s="15" customFormat="1" x14ac:dyDescent="0.25">
      <c r="A69" s="5"/>
      <c r="B69" s="5" t="s">
        <v>207</v>
      </c>
      <c r="C69" s="5" t="s">
        <v>17</v>
      </c>
      <c r="D69" s="31">
        <v>17</v>
      </c>
      <c r="F69" s="4"/>
      <c r="G69" s="4"/>
      <c r="H69" s="4"/>
      <c r="I69" s="4"/>
    </row>
    <row r="70" spans="1:9" s="15" customFormat="1" x14ac:dyDescent="0.25">
      <c r="A70" s="5"/>
      <c r="B70" s="5" t="s">
        <v>21</v>
      </c>
      <c r="C70" s="5"/>
      <c r="D70" s="31">
        <f>D66*0.421</f>
        <v>44.020602000000004</v>
      </c>
      <c r="F70" s="4"/>
      <c r="G70" s="4"/>
      <c r="H70" s="4"/>
      <c r="I70" s="4"/>
    </row>
    <row r="71" spans="1:9" s="15" customFormat="1" x14ac:dyDescent="0.25">
      <c r="A71" s="5"/>
      <c r="B71" s="5" t="s">
        <v>22</v>
      </c>
      <c r="C71" s="5"/>
      <c r="D71" s="31">
        <f>(D66+D67+D68+D70)*0.15</f>
        <v>29.589733200000001</v>
      </c>
      <c r="F71" s="4"/>
      <c r="G71" s="4"/>
      <c r="H71" s="4"/>
      <c r="I71" s="4"/>
    </row>
    <row r="72" spans="1:9" x14ac:dyDescent="0.25">
      <c r="A72" s="5"/>
      <c r="B72" s="5"/>
      <c r="C72" s="5"/>
      <c r="D72" s="30"/>
    </row>
    <row r="73" spans="1:9" x14ac:dyDescent="0.25">
      <c r="A73" s="5"/>
      <c r="B73" s="5" t="s">
        <v>186</v>
      </c>
      <c r="C73" s="5"/>
      <c r="D73" s="30">
        <v>4955.8599999999997</v>
      </c>
    </row>
    <row r="74" spans="1:9" s="15" customFormat="1" x14ac:dyDescent="0.25">
      <c r="A74" s="5"/>
      <c r="B74" s="5" t="s">
        <v>216</v>
      </c>
      <c r="C74" s="5"/>
      <c r="D74" s="31">
        <f>D73*0.12</f>
        <v>594.70319999999992</v>
      </c>
      <c r="F74" s="4"/>
      <c r="G74" s="4"/>
      <c r="H74" s="4"/>
      <c r="I74" s="4"/>
    </row>
    <row r="75" spans="1:9" s="15" customFormat="1" x14ac:dyDescent="0.25">
      <c r="A75" s="5"/>
      <c r="B75" s="5" t="s">
        <v>22</v>
      </c>
      <c r="C75" s="5"/>
      <c r="D75" s="31">
        <f>(D73+D74)*0.15</f>
        <v>832.58447999999987</v>
      </c>
      <c r="F75" s="4"/>
      <c r="G75" s="4"/>
      <c r="H75" s="4"/>
      <c r="I75" s="4"/>
    </row>
    <row r="76" spans="1:9" s="15" customFormat="1" x14ac:dyDescent="0.25">
      <c r="A76" s="5"/>
      <c r="B76" s="5" t="s">
        <v>10</v>
      </c>
      <c r="C76" s="5"/>
      <c r="D76" s="30">
        <f>SUM(D73:D75)</f>
        <v>6383.1476799999991</v>
      </c>
      <c r="F76" s="4"/>
      <c r="G76" s="4"/>
      <c r="H76" s="4"/>
      <c r="I76" s="4"/>
    </row>
    <row r="77" spans="1:9" s="15" customFormat="1" x14ac:dyDescent="0.25">
      <c r="A77" s="5"/>
      <c r="B77" s="5" t="s">
        <v>298</v>
      </c>
      <c r="C77" s="5"/>
      <c r="D77" s="30">
        <v>19600</v>
      </c>
      <c r="F77" s="4"/>
      <c r="G77" s="4"/>
      <c r="H77" s="4"/>
      <c r="I77" s="4"/>
    </row>
    <row r="78" spans="1:9" s="15" customFormat="1" x14ac:dyDescent="0.25">
      <c r="A78" s="5"/>
      <c r="B78" s="5" t="s">
        <v>216</v>
      </c>
      <c r="C78" s="5"/>
      <c r="D78" s="30">
        <f>D77*0.12</f>
        <v>2352</v>
      </c>
      <c r="F78" s="4"/>
      <c r="G78" s="4"/>
      <c r="H78" s="4"/>
      <c r="I78" s="4"/>
    </row>
    <row r="79" spans="1:9" s="15" customFormat="1" x14ac:dyDescent="0.25">
      <c r="A79" s="5"/>
      <c r="B79" s="5" t="s">
        <v>22</v>
      </c>
      <c r="C79" s="5"/>
      <c r="D79" s="30">
        <f>(D77+D78)*0.15</f>
        <v>3292.7999999999997</v>
      </c>
      <c r="F79" s="4"/>
      <c r="G79" s="4"/>
      <c r="H79" s="4"/>
      <c r="I79" s="4"/>
    </row>
    <row r="80" spans="1:9" s="15" customFormat="1" x14ac:dyDescent="0.25">
      <c r="A80" s="5"/>
      <c r="B80" s="5" t="s">
        <v>10</v>
      </c>
      <c r="C80" s="5"/>
      <c r="D80" s="30">
        <f>SUM(D77:D79)</f>
        <v>25244.799999999999</v>
      </c>
      <c r="F80" s="4"/>
      <c r="G80" s="4"/>
      <c r="H80" s="4"/>
      <c r="I80" s="4"/>
    </row>
    <row r="81" spans="1:9" s="15" customFormat="1" ht="31.5" x14ac:dyDescent="0.25">
      <c r="A81" s="5"/>
      <c r="B81" s="14" t="s">
        <v>299</v>
      </c>
      <c r="C81" s="5"/>
      <c r="D81" s="30">
        <v>1800</v>
      </c>
      <c r="F81" s="4"/>
      <c r="G81" s="4"/>
      <c r="H81" s="4"/>
      <c r="I81" s="4"/>
    </row>
    <row r="82" spans="1:9" s="15" customFormat="1" x14ac:dyDescent="0.25">
      <c r="A82" s="5"/>
      <c r="B82" s="5" t="s">
        <v>216</v>
      </c>
      <c r="C82" s="5"/>
      <c r="D82" s="30">
        <f>D81*0.12</f>
        <v>216</v>
      </c>
      <c r="F82" s="4"/>
      <c r="G82" s="4"/>
      <c r="H82" s="4"/>
      <c r="I82" s="4"/>
    </row>
    <row r="83" spans="1:9" s="15" customFormat="1" x14ac:dyDescent="0.25">
      <c r="A83" s="5"/>
      <c r="B83" s="5" t="s">
        <v>22</v>
      </c>
      <c r="C83" s="5"/>
      <c r="D83" s="30">
        <f>(D81+D82)*0.15</f>
        <v>302.39999999999998</v>
      </c>
      <c r="F83" s="4"/>
      <c r="G83" s="4"/>
      <c r="H83" s="4"/>
      <c r="I83" s="4"/>
    </row>
    <row r="84" spans="1:9" s="15" customFormat="1" x14ac:dyDescent="0.25">
      <c r="A84" s="5"/>
      <c r="B84" s="14" t="s">
        <v>10</v>
      </c>
      <c r="C84" s="5"/>
      <c r="D84" s="30">
        <f>SUM(D81:D83)</f>
        <v>2318.4</v>
      </c>
      <c r="F84" s="4"/>
      <c r="G84" s="4"/>
      <c r="H84" s="4"/>
      <c r="I84" s="4"/>
    </row>
    <row r="85" spans="1:9" s="15" customFormat="1" x14ac:dyDescent="0.25">
      <c r="A85" s="5"/>
      <c r="B85" s="5"/>
      <c r="C85" s="5"/>
      <c r="D85" s="30"/>
      <c r="F85" s="4"/>
      <c r="G85" s="4"/>
      <c r="H85" s="4"/>
      <c r="I85" s="4"/>
    </row>
    <row r="86" spans="1:9" x14ac:dyDescent="0.25">
      <c r="A86" s="5"/>
      <c r="B86" s="5"/>
      <c r="C86" s="5"/>
      <c r="D86" s="30"/>
    </row>
    <row r="87" spans="1:9" x14ac:dyDescent="0.25">
      <c r="A87" s="5"/>
      <c r="B87" s="5"/>
      <c r="C87" s="5"/>
      <c r="D87" s="31"/>
    </row>
    <row r="88" spans="1:9" x14ac:dyDescent="0.25">
      <c r="A88" s="5"/>
      <c r="B88" s="5" t="s">
        <v>179</v>
      </c>
      <c r="C88" s="5"/>
      <c r="D88" s="31">
        <f>D87+D65+D58+D41+D23+D11+D3+D76+D80+D84</f>
        <v>76521.866557200003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0" sqref="G10"/>
    </sheetView>
  </sheetViews>
  <sheetFormatPr defaultRowHeight="15" x14ac:dyDescent="0.25"/>
  <cols>
    <col min="1" max="1" width="34" customWidth="1"/>
    <col min="2" max="2" width="12.7109375" customWidth="1"/>
    <col min="3" max="3" width="14.42578125" customWidth="1"/>
    <col min="4" max="4" width="15.140625" customWidth="1"/>
    <col min="5" max="5" width="15.28515625" customWidth="1"/>
    <col min="6" max="6" width="17.5703125" customWidth="1"/>
    <col min="7" max="7" width="13" customWidth="1"/>
  </cols>
  <sheetData>
    <row r="1" spans="1:7" ht="15.75" x14ac:dyDescent="0.25">
      <c r="A1" s="42" t="s">
        <v>183</v>
      </c>
      <c r="B1" s="42"/>
      <c r="C1" s="42"/>
      <c r="D1" s="42"/>
      <c r="E1" s="42"/>
      <c r="F1" s="42"/>
      <c r="G1" s="42"/>
    </row>
    <row r="3" spans="1:7" ht="30" x14ac:dyDescent="0.25">
      <c r="A3" s="10" t="s">
        <v>0</v>
      </c>
      <c r="B3" s="10">
        <v>1315.7</v>
      </c>
      <c r="C3" s="11" t="s">
        <v>1</v>
      </c>
      <c r="D3" s="11" t="s">
        <v>304</v>
      </c>
      <c r="E3" s="11" t="s">
        <v>305</v>
      </c>
      <c r="F3" s="11" t="s">
        <v>306</v>
      </c>
      <c r="G3" s="11" t="s">
        <v>307</v>
      </c>
    </row>
    <row r="4" spans="1:7" x14ac:dyDescent="0.25">
      <c r="A4" s="10" t="s">
        <v>2</v>
      </c>
      <c r="B4" s="10">
        <v>2.87</v>
      </c>
      <c r="C4" s="10"/>
      <c r="D4" s="10"/>
      <c r="E4" s="12"/>
      <c r="F4" s="12">
        <f>B4*B3*10</f>
        <v>37760.590000000004</v>
      </c>
      <c r="G4" s="10"/>
    </row>
    <row r="5" spans="1:7" x14ac:dyDescent="0.25">
      <c r="A5" s="10" t="s">
        <v>58</v>
      </c>
      <c r="B5" s="10">
        <v>3.55</v>
      </c>
      <c r="C5" s="10"/>
      <c r="D5" s="10"/>
      <c r="E5" s="12"/>
      <c r="F5" s="10">
        <v>150450.38</v>
      </c>
      <c r="G5" s="10"/>
    </row>
    <row r="6" spans="1:7" x14ac:dyDescent="0.25">
      <c r="A6" s="10" t="s">
        <v>4</v>
      </c>
      <c r="B6" s="10">
        <v>4.9800000000000004</v>
      </c>
      <c r="C6" s="10"/>
      <c r="D6" s="10"/>
      <c r="E6" s="12"/>
      <c r="F6" s="12">
        <f>B6*B3*10</f>
        <v>65521.860000000008</v>
      </c>
      <c r="G6" s="10"/>
    </row>
    <row r="7" spans="1:7" x14ac:dyDescent="0.25">
      <c r="A7" s="10" t="s">
        <v>5</v>
      </c>
      <c r="B7" s="10"/>
      <c r="C7" s="10">
        <v>21651.51</v>
      </c>
      <c r="D7" s="10">
        <v>144711.6</v>
      </c>
      <c r="E7" s="12">
        <v>139528.78</v>
      </c>
      <c r="F7" s="10"/>
      <c r="G7" s="10"/>
    </row>
    <row r="8" spans="1:7" x14ac:dyDescent="0.25">
      <c r="A8" s="10" t="s">
        <v>59</v>
      </c>
      <c r="B8" s="10">
        <v>0.54</v>
      </c>
      <c r="C8" s="10"/>
      <c r="D8" s="10">
        <v>6854.7</v>
      </c>
      <c r="E8" s="12">
        <v>6046.59</v>
      </c>
      <c r="F8" s="10">
        <f>D8</f>
        <v>6854.7</v>
      </c>
      <c r="G8" s="10"/>
    </row>
    <row r="9" spans="1:7" x14ac:dyDescent="0.25">
      <c r="A9" s="10" t="s">
        <v>6</v>
      </c>
      <c r="B9" s="10">
        <v>0.06</v>
      </c>
      <c r="C9" s="10"/>
      <c r="D9" s="10">
        <v>761.7</v>
      </c>
      <c r="E9" s="12">
        <v>669.58</v>
      </c>
      <c r="F9" s="10">
        <f>D9</f>
        <v>761.7</v>
      </c>
      <c r="G9" s="10"/>
    </row>
    <row r="10" spans="1:7" ht="30" x14ac:dyDescent="0.25">
      <c r="A10" s="11" t="s">
        <v>7</v>
      </c>
      <c r="B10" s="10"/>
      <c r="C10" s="10">
        <v>500</v>
      </c>
      <c r="D10" s="10">
        <v>1000</v>
      </c>
      <c r="E10" s="12">
        <v>1500</v>
      </c>
      <c r="F10" s="10"/>
      <c r="G10" s="10"/>
    </row>
    <row r="11" spans="1:7" x14ac:dyDescent="0.25">
      <c r="A11" s="10" t="s">
        <v>9</v>
      </c>
      <c r="B11" s="10"/>
      <c r="C11" s="10"/>
      <c r="D11" s="10"/>
      <c r="E11" s="12">
        <v>500</v>
      </c>
      <c r="F11" s="10"/>
      <c r="G11" s="10"/>
    </row>
    <row r="12" spans="1:7" x14ac:dyDescent="0.25">
      <c r="A12" s="10" t="s">
        <v>10</v>
      </c>
      <c r="B12" s="10"/>
      <c r="C12" s="10">
        <f>SUM(C7:C11)</f>
        <v>22151.51</v>
      </c>
      <c r="D12" s="10">
        <f>SUM(D7:D11)</f>
        <v>153328.00000000003</v>
      </c>
      <c r="E12" s="12">
        <f>SUM(E7:E11)</f>
        <v>148244.94999999998</v>
      </c>
      <c r="F12" s="12">
        <f>SUM(F4:F11)</f>
        <v>261349.23000000004</v>
      </c>
      <c r="G12" s="12">
        <f>C12+E12-F12</f>
        <v>-90952.770000000048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5"/>
  <sheetViews>
    <sheetView tabSelected="1" workbookViewId="0">
      <selection activeCell="J10" sqref="J10"/>
    </sheetView>
  </sheetViews>
  <sheetFormatPr defaultRowHeight="15.75" x14ac:dyDescent="0.25"/>
  <cols>
    <col min="1" max="1" width="9.140625" style="4"/>
    <col min="2" max="2" width="39.5703125" style="4" bestFit="1" customWidth="1"/>
    <col min="3" max="3" width="9.140625" style="4"/>
    <col min="4" max="4" width="10.7109375" style="4" bestFit="1" customWidth="1"/>
    <col min="6" max="6" width="54.28515625" bestFit="1" customWidth="1"/>
    <col min="9" max="9" width="12.5703125" customWidth="1"/>
  </cols>
  <sheetData>
    <row r="3" spans="1:9" x14ac:dyDescent="0.25">
      <c r="A3" s="5"/>
      <c r="B3" s="5" t="s">
        <v>117</v>
      </c>
      <c r="C3" s="5"/>
      <c r="D3" s="5"/>
      <c r="F3" s="6" t="s">
        <v>308</v>
      </c>
      <c r="G3" s="6" t="s">
        <v>309</v>
      </c>
      <c r="H3" s="6" t="s">
        <v>312</v>
      </c>
      <c r="I3" s="6" t="s">
        <v>310</v>
      </c>
    </row>
    <row r="4" spans="1:9" x14ac:dyDescent="0.25">
      <c r="A4" s="13">
        <v>1</v>
      </c>
      <c r="B4" s="13" t="s">
        <v>11</v>
      </c>
      <c r="C4" s="5"/>
      <c r="D4" s="8">
        <f>D5+D15+D22+D28+D35+D52+D59</f>
        <v>29889.7454684</v>
      </c>
      <c r="F4" s="5" t="s">
        <v>318</v>
      </c>
      <c r="G4" s="5" t="s">
        <v>313</v>
      </c>
      <c r="H4" s="5">
        <v>4</v>
      </c>
      <c r="I4" s="5">
        <v>27027.63</v>
      </c>
    </row>
    <row r="5" spans="1:9" x14ac:dyDescent="0.25">
      <c r="A5" s="5" t="s">
        <v>12</v>
      </c>
      <c r="B5" s="5" t="s">
        <v>61</v>
      </c>
      <c r="C5" s="5"/>
      <c r="D5" s="40">
        <f>D6+D7+D8+D13+D14</f>
        <v>5649.8549088000009</v>
      </c>
      <c r="F5" s="5" t="s">
        <v>315</v>
      </c>
      <c r="G5" s="5" t="s">
        <v>313</v>
      </c>
      <c r="H5" s="5">
        <v>4</v>
      </c>
      <c r="I5" s="5">
        <v>2862.1</v>
      </c>
    </row>
    <row r="6" spans="1:9" x14ac:dyDescent="0.25">
      <c r="A6" s="5"/>
      <c r="B6" s="5" t="s">
        <v>14</v>
      </c>
      <c r="C6" s="5" t="s">
        <v>62</v>
      </c>
      <c r="D6" s="5">
        <f>58.09*24*1.8</f>
        <v>2509.4880000000003</v>
      </c>
      <c r="F6" s="5" t="s">
        <v>186</v>
      </c>
      <c r="G6" s="5"/>
      <c r="H6" s="5"/>
      <c r="I6" s="5">
        <v>4640.6400000000003</v>
      </c>
    </row>
    <row r="7" spans="1:9" x14ac:dyDescent="0.25">
      <c r="A7" s="5"/>
      <c r="B7" s="5" t="s">
        <v>63</v>
      </c>
      <c r="C7" s="5"/>
      <c r="D7" s="8">
        <f>D6*0.303</f>
        <v>760.37486400000012</v>
      </c>
      <c r="F7" s="5" t="s">
        <v>100</v>
      </c>
      <c r="G7" s="5"/>
      <c r="H7" s="5"/>
      <c r="I7" s="5">
        <v>115920</v>
      </c>
    </row>
    <row r="8" spans="1:9" s="15" customFormat="1" x14ac:dyDescent="0.25">
      <c r="A8" s="5"/>
      <c r="B8" s="5" t="s">
        <v>70</v>
      </c>
      <c r="C8" s="5"/>
      <c r="D8" s="8">
        <f>SUM(D9:D12)</f>
        <v>586.55999999999995</v>
      </c>
      <c r="F8" s="5"/>
      <c r="G8" s="5"/>
      <c r="H8" s="5"/>
      <c r="I8" s="5"/>
    </row>
    <row r="9" spans="1:9" x14ac:dyDescent="0.25">
      <c r="A9" s="5"/>
      <c r="B9" s="5" t="s">
        <v>64</v>
      </c>
      <c r="C9" s="6" t="s">
        <v>65</v>
      </c>
      <c r="D9" s="5">
        <v>298</v>
      </c>
      <c r="F9" s="16"/>
      <c r="G9" s="5"/>
      <c r="H9" s="5"/>
      <c r="I9" s="5"/>
    </row>
    <row r="10" spans="1:9" x14ac:dyDescent="0.25">
      <c r="A10" s="5"/>
      <c r="B10" s="5" t="s">
        <v>66</v>
      </c>
      <c r="C10" s="6" t="s">
        <v>17</v>
      </c>
      <c r="D10" s="5">
        <v>235.9</v>
      </c>
      <c r="F10" s="5"/>
      <c r="G10" s="7"/>
      <c r="H10" s="29"/>
      <c r="I10" s="7"/>
    </row>
    <row r="11" spans="1:9" x14ac:dyDescent="0.25">
      <c r="A11" s="5"/>
      <c r="B11" s="5" t="s">
        <v>67</v>
      </c>
      <c r="C11" s="6" t="s">
        <v>68</v>
      </c>
      <c r="D11" s="5">
        <v>2.66</v>
      </c>
      <c r="F11" s="14"/>
      <c r="G11" s="29"/>
      <c r="H11" s="29"/>
      <c r="I11" s="7"/>
    </row>
    <row r="12" spans="1:9" x14ac:dyDescent="0.25">
      <c r="A12" s="5"/>
      <c r="B12" s="5" t="s">
        <v>69</v>
      </c>
      <c r="C12" s="6" t="s">
        <v>42</v>
      </c>
      <c r="D12" s="5">
        <v>50</v>
      </c>
    </row>
    <row r="13" spans="1:9" x14ac:dyDescent="0.25">
      <c r="A13" s="5"/>
      <c r="B13" s="5" t="s">
        <v>71</v>
      </c>
      <c r="C13" s="5"/>
      <c r="D13" s="5">
        <f>D6*0.421</f>
        <v>1056.4944480000001</v>
      </c>
    </row>
    <row r="14" spans="1:9" x14ac:dyDescent="0.25">
      <c r="A14" s="5"/>
      <c r="B14" s="5" t="s">
        <v>22</v>
      </c>
      <c r="C14" s="5"/>
      <c r="D14" s="8">
        <f>(D6+D7+D8+D13)*0.15</f>
        <v>736.93759680000005</v>
      </c>
    </row>
    <row r="15" spans="1:9" x14ac:dyDescent="0.25">
      <c r="A15" s="5" t="s">
        <v>23</v>
      </c>
      <c r="B15" s="5" t="s">
        <v>188</v>
      </c>
      <c r="C15" s="5"/>
      <c r="D15" s="40">
        <f>D16+D17+D18+D20+D21</f>
        <v>241.43662120000002</v>
      </c>
    </row>
    <row r="16" spans="1:9" x14ac:dyDescent="0.25">
      <c r="A16" s="5"/>
      <c r="B16" s="5" t="s">
        <v>14</v>
      </c>
      <c r="C16" s="5" t="s">
        <v>72</v>
      </c>
      <c r="D16" s="8">
        <f>58.09*1.8</f>
        <v>104.56200000000001</v>
      </c>
    </row>
    <row r="17" spans="1:4" x14ac:dyDescent="0.25">
      <c r="A17" s="5"/>
      <c r="B17" s="5" t="s">
        <v>63</v>
      </c>
      <c r="C17" s="5"/>
      <c r="D17" s="8">
        <f>D16*0.303</f>
        <v>31.682286000000001</v>
      </c>
    </row>
    <row r="18" spans="1:4" x14ac:dyDescent="0.25">
      <c r="A18" s="5"/>
      <c r="B18" s="5" t="s">
        <v>70</v>
      </c>
      <c r="C18" s="5"/>
      <c r="D18" s="5">
        <v>29.68</v>
      </c>
    </row>
    <row r="19" spans="1:4" x14ac:dyDescent="0.25">
      <c r="A19" s="5"/>
      <c r="B19" s="5" t="s">
        <v>73</v>
      </c>
      <c r="C19" s="6" t="s">
        <v>74</v>
      </c>
      <c r="D19" s="5">
        <v>29.68</v>
      </c>
    </row>
    <row r="20" spans="1:4" x14ac:dyDescent="0.25">
      <c r="A20" s="5"/>
      <c r="B20" s="5" t="s">
        <v>71</v>
      </c>
      <c r="C20" s="5"/>
      <c r="D20" s="8">
        <f>D16*0.421</f>
        <v>44.020602000000004</v>
      </c>
    </row>
    <row r="21" spans="1:4" x14ac:dyDescent="0.25">
      <c r="A21" s="5"/>
      <c r="B21" s="5" t="s">
        <v>22</v>
      </c>
      <c r="C21" s="5"/>
      <c r="D21" s="8">
        <f>(D16+D17+D18+D20)*0.15</f>
        <v>31.491733200000002</v>
      </c>
    </row>
    <row r="22" spans="1:4" ht="31.5" x14ac:dyDescent="0.25">
      <c r="A22" s="5" t="s">
        <v>34</v>
      </c>
      <c r="B22" s="14" t="s">
        <v>75</v>
      </c>
      <c r="C22" s="5"/>
      <c r="D22" s="40">
        <f>D23+D24+D26+D27</f>
        <v>3109.5693179999998</v>
      </c>
    </row>
    <row r="23" spans="1:4" x14ac:dyDescent="0.25">
      <c r="A23" s="5"/>
      <c r="B23" s="5" t="s">
        <v>14</v>
      </c>
      <c r="C23" s="5" t="s">
        <v>76</v>
      </c>
      <c r="D23" s="5">
        <v>1568.43</v>
      </c>
    </row>
    <row r="24" spans="1:4" x14ac:dyDescent="0.25">
      <c r="A24" s="5"/>
      <c r="B24" s="5" t="s">
        <v>63</v>
      </c>
      <c r="C24" s="5"/>
      <c r="D24" s="8">
        <f>D23*0.303</f>
        <v>475.23428999999999</v>
      </c>
    </row>
    <row r="25" spans="1:4" x14ac:dyDescent="0.25">
      <c r="A25" s="5"/>
      <c r="B25" s="5" t="s">
        <v>77</v>
      </c>
      <c r="C25" s="5"/>
      <c r="D25" s="5"/>
    </row>
    <row r="26" spans="1:4" x14ac:dyDescent="0.25">
      <c r="A26" s="5"/>
      <c r="B26" s="5" t="s">
        <v>71</v>
      </c>
      <c r="C26" s="5"/>
      <c r="D26" s="8">
        <f>D23*0.421</f>
        <v>660.30903000000001</v>
      </c>
    </row>
    <row r="27" spans="1:4" x14ac:dyDescent="0.25">
      <c r="A27" s="5"/>
      <c r="B27" s="5" t="s">
        <v>22</v>
      </c>
      <c r="C27" s="5"/>
      <c r="D27" s="8">
        <f>(D23+D24+D26)*0.15</f>
        <v>405.59599800000001</v>
      </c>
    </row>
    <row r="28" spans="1:4" x14ac:dyDescent="0.25">
      <c r="A28" s="5" t="s">
        <v>79</v>
      </c>
      <c r="B28" s="5" t="s">
        <v>78</v>
      </c>
      <c r="C28" s="5"/>
      <c r="D28" s="40">
        <f>D29+D30+D31+D33+D34</f>
        <v>1212.4046211999998</v>
      </c>
    </row>
    <row r="29" spans="1:4" x14ac:dyDescent="0.25">
      <c r="A29" s="5"/>
      <c r="B29" s="5" t="s">
        <v>14</v>
      </c>
      <c r="C29" s="5" t="s">
        <v>72</v>
      </c>
      <c r="D29" s="8">
        <f>58.09*1.8</f>
        <v>104.56200000000001</v>
      </c>
    </row>
    <row r="30" spans="1:4" x14ac:dyDescent="0.25">
      <c r="A30" s="5"/>
      <c r="B30" s="5" t="s">
        <v>63</v>
      </c>
      <c r="C30" s="5"/>
      <c r="D30" s="8">
        <f>D29*0.303</f>
        <v>31.682286000000001</v>
      </c>
    </row>
    <row r="31" spans="1:4" x14ac:dyDescent="0.25">
      <c r="A31" s="5"/>
      <c r="B31" s="5" t="s">
        <v>81</v>
      </c>
      <c r="C31" s="5"/>
      <c r="D31" s="5">
        <f>D32</f>
        <v>874</v>
      </c>
    </row>
    <row r="32" spans="1:4" x14ac:dyDescent="0.25">
      <c r="A32" s="5"/>
      <c r="B32" s="16" t="s">
        <v>80</v>
      </c>
      <c r="C32" s="18" t="s">
        <v>48</v>
      </c>
      <c r="D32" s="16">
        <v>874</v>
      </c>
    </row>
    <row r="33" spans="1:4" x14ac:dyDescent="0.25">
      <c r="A33" s="5"/>
      <c r="B33" s="5" t="s">
        <v>71</v>
      </c>
      <c r="C33" s="5"/>
      <c r="D33" s="8">
        <f>D29*0.421</f>
        <v>44.020602000000004</v>
      </c>
    </row>
    <row r="34" spans="1:4" x14ac:dyDescent="0.25">
      <c r="A34" s="5"/>
      <c r="B34" s="5" t="s">
        <v>22</v>
      </c>
      <c r="C34" s="5"/>
      <c r="D34" s="5">
        <f>(D29+D30+D31+D33)*0.15</f>
        <v>158.13973319999999</v>
      </c>
    </row>
    <row r="35" spans="1:4" x14ac:dyDescent="0.25">
      <c r="A35" s="5" t="s">
        <v>83</v>
      </c>
      <c r="B35" s="5" t="s">
        <v>82</v>
      </c>
      <c r="C35" s="5"/>
      <c r="D35" s="49">
        <f>D36+D37+D38+D50+D51</f>
        <v>18026.770756800001</v>
      </c>
    </row>
    <row r="36" spans="1:4" x14ac:dyDescent="0.25">
      <c r="A36" s="5"/>
      <c r="B36" s="5" t="s">
        <v>14</v>
      </c>
      <c r="C36" s="5" t="s">
        <v>84</v>
      </c>
      <c r="D36" s="5">
        <f>58.09*64*1.8</f>
        <v>6691.9680000000008</v>
      </c>
    </row>
    <row r="37" spans="1:4" x14ac:dyDescent="0.25">
      <c r="A37" s="5"/>
      <c r="B37" s="5" t="s">
        <v>63</v>
      </c>
      <c r="C37" s="5"/>
      <c r="D37" s="5">
        <f>D36*0.303</f>
        <v>2027.6663040000001</v>
      </c>
    </row>
    <row r="38" spans="1:4" x14ac:dyDescent="0.25">
      <c r="A38" s="5"/>
      <c r="B38" s="5" t="s">
        <v>81</v>
      </c>
      <c r="C38" s="5"/>
      <c r="D38" s="5">
        <f>SUM(D39:D49)</f>
        <v>4138.5</v>
      </c>
    </row>
    <row r="39" spans="1:4" x14ac:dyDescent="0.25">
      <c r="A39" s="5"/>
      <c r="B39" s="5" t="s">
        <v>85</v>
      </c>
      <c r="C39" s="5" t="s">
        <v>48</v>
      </c>
      <c r="D39" s="5">
        <v>90</v>
      </c>
    </row>
    <row r="40" spans="1:4" x14ac:dyDescent="0.25">
      <c r="A40" s="5"/>
      <c r="B40" s="5" t="s">
        <v>86</v>
      </c>
      <c r="C40" s="5" t="s">
        <v>29</v>
      </c>
      <c r="D40" s="5">
        <v>78</v>
      </c>
    </row>
    <row r="41" spans="1:4" x14ac:dyDescent="0.25">
      <c r="A41" s="5"/>
      <c r="B41" s="5" t="s">
        <v>87</v>
      </c>
      <c r="C41" s="5" t="s">
        <v>17</v>
      </c>
      <c r="D41" s="5">
        <v>175</v>
      </c>
    </row>
    <row r="42" spans="1:4" x14ac:dyDescent="0.25">
      <c r="A42" s="5"/>
      <c r="B42" s="5" t="s">
        <v>88</v>
      </c>
      <c r="C42" s="5" t="s">
        <v>17</v>
      </c>
      <c r="D42" s="5">
        <v>140</v>
      </c>
    </row>
    <row r="43" spans="1:4" x14ac:dyDescent="0.25">
      <c r="A43" s="5"/>
      <c r="B43" s="5" t="s">
        <v>89</v>
      </c>
      <c r="C43" s="5" t="s">
        <v>29</v>
      </c>
      <c r="D43" s="5">
        <v>1065</v>
      </c>
    </row>
    <row r="44" spans="1:4" x14ac:dyDescent="0.25">
      <c r="A44" s="5"/>
      <c r="B44" s="5" t="s">
        <v>90</v>
      </c>
      <c r="C44" s="5" t="s">
        <v>17</v>
      </c>
      <c r="D44" s="5">
        <v>35</v>
      </c>
    </row>
    <row r="45" spans="1:4" x14ac:dyDescent="0.25">
      <c r="A45" s="5"/>
      <c r="B45" s="5" t="s">
        <v>91</v>
      </c>
      <c r="C45" s="5" t="s">
        <v>17</v>
      </c>
      <c r="D45" s="5">
        <v>55</v>
      </c>
    </row>
    <row r="46" spans="1:4" x14ac:dyDescent="0.25">
      <c r="A46" s="5"/>
      <c r="B46" s="5" t="s">
        <v>94</v>
      </c>
      <c r="C46" s="5" t="s">
        <v>48</v>
      </c>
      <c r="D46" s="5">
        <v>3</v>
      </c>
    </row>
    <row r="47" spans="1:4" x14ac:dyDescent="0.25">
      <c r="A47" s="5"/>
      <c r="B47" s="5" t="s">
        <v>92</v>
      </c>
      <c r="C47" s="5" t="s">
        <v>17</v>
      </c>
      <c r="D47" s="5">
        <v>40</v>
      </c>
    </row>
    <row r="48" spans="1:4" x14ac:dyDescent="0.25">
      <c r="A48" s="5"/>
      <c r="B48" s="5" t="s">
        <v>93</v>
      </c>
      <c r="C48" s="5" t="s">
        <v>17</v>
      </c>
      <c r="D48" s="5">
        <v>2127.5</v>
      </c>
    </row>
    <row r="49" spans="1:4" x14ac:dyDescent="0.25">
      <c r="A49" s="5"/>
      <c r="B49" s="5" t="s">
        <v>95</v>
      </c>
      <c r="C49" s="5" t="s">
        <v>48</v>
      </c>
      <c r="D49" s="5">
        <v>330</v>
      </c>
    </row>
    <row r="50" spans="1:4" x14ac:dyDescent="0.25">
      <c r="A50" s="5"/>
      <c r="B50" s="5" t="s">
        <v>71</v>
      </c>
      <c r="C50" s="5"/>
      <c r="D50" s="5">
        <f>D36*0.421</f>
        <v>2817.3185280000002</v>
      </c>
    </row>
    <row r="51" spans="1:4" x14ac:dyDescent="0.25">
      <c r="A51" s="5"/>
      <c r="B51" s="5" t="s">
        <v>22</v>
      </c>
      <c r="C51" s="5"/>
      <c r="D51" s="5">
        <f>(D36+D37+D38+D50)*0.15</f>
        <v>2351.3179248000001</v>
      </c>
    </row>
    <row r="52" spans="1:4" x14ac:dyDescent="0.25">
      <c r="A52" s="5" t="s">
        <v>96</v>
      </c>
      <c r="B52" s="5" t="s">
        <v>97</v>
      </c>
      <c r="C52" s="5"/>
      <c r="D52" s="40">
        <f>D53+D54+D55+D57+D58</f>
        <v>824.8546212</v>
      </c>
    </row>
    <row r="53" spans="1:4" x14ac:dyDescent="0.25">
      <c r="A53" s="5"/>
      <c r="B53" s="5" t="s">
        <v>14</v>
      </c>
      <c r="C53" s="5" t="s">
        <v>72</v>
      </c>
      <c r="D53" s="8">
        <f>58.09*1.8</f>
        <v>104.56200000000001</v>
      </c>
    </row>
    <row r="54" spans="1:4" x14ac:dyDescent="0.25">
      <c r="A54" s="5"/>
      <c r="B54" s="5" t="s">
        <v>63</v>
      </c>
      <c r="C54" s="5"/>
      <c r="D54" s="8">
        <f>D53*0.303</f>
        <v>31.682286000000001</v>
      </c>
    </row>
    <row r="55" spans="1:4" x14ac:dyDescent="0.25">
      <c r="A55" s="5"/>
      <c r="B55" s="5" t="s">
        <v>81</v>
      </c>
      <c r="C55" s="5"/>
      <c r="D55" s="5">
        <f>D56</f>
        <v>537</v>
      </c>
    </row>
    <row r="56" spans="1:4" x14ac:dyDescent="0.25">
      <c r="A56" s="5"/>
      <c r="B56" s="5" t="s">
        <v>98</v>
      </c>
      <c r="C56" s="5" t="s">
        <v>17</v>
      </c>
      <c r="D56" s="5">
        <v>537</v>
      </c>
    </row>
    <row r="57" spans="1:4" x14ac:dyDescent="0.25">
      <c r="A57" s="5"/>
      <c r="B57" s="5" t="s">
        <v>71</v>
      </c>
      <c r="C57" s="5"/>
      <c r="D57" s="8">
        <f>D53*0.421</f>
        <v>44.020602000000004</v>
      </c>
    </row>
    <row r="58" spans="1:4" x14ac:dyDescent="0.25">
      <c r="A58" s="5"/>
      <c r="B58" s="5" t="s">
        <v>22</v>
      </c>
      <c r="C58" s="5"/>
      <c r="D58" s="8">
        <f>(D53+D54+D55+D57)*0.15</f>
        <v>107.5897332</v>
      </c>
    </row>
    <row r="59" spans="1:4" s="15" customFormat="1" x14ac:dyDescent="0.25">
      <c r="A59" s="5" t="s">
        <v>149</v>
      </c>
      <c r="B59" s="5" t="s">
        <v>97</v>
      </c>
      <c r="C59" s="5"/>
      <c r="D59" s="40">
        <f>D60+D61+D62+D64+D65</f>
        <v>824.8546212</v>
      </c>
    </row>
    <row r="60" spans="1:4" s="15" customFormat="1" x14ac:dyDescent="0.25">
      <c r="A60" s="5"/>
      <c r="B60" s="5" t="s">
        <v>14</v>
      </c>
      <c r="C60" s="5" t="s">
        <v>72</v>
      </c>
      <c r="D60" s="8">
        <f>58.09*1.8</f>
        <v>104.56200000000001</v>
      </c>
    </row>
    <row r="61" spans="1:4" s="15" customFormat="1" x14ac:dyDescent="0.25">
      <c r="A61" s="5"/>
      <c r="B61" s="5" t="s">
        <v>63</v>
      </c>
      <c r="C61" s="5"/>
      <c r="D61" s="8">
        <f>D60*0.303</f>
        <v>31.682286000000001</v>
      </c>
    </row>
    <row r="62" spans="1:4" s="15" customFormat="1" x14ac:dyDescent="0.25">
      <c r="A62" s="5"/>
      <c r="B62" s="5" t="s">
        <v>81</v>
      </c>
      <c r="C62" s="5"/>
      <c r="D62" s="5">
        <f>D63</f>
        <v>537</v>
      </c>
    </row>
    <row r="63" spans="1:4" s="15" customFormat="1" x14ac:dyDescent="0.25">
      <c r="A63" s="5"/>
      <c r="B63" s="5" t="s">
        <v>98</v>
      </c>
      <c r="C63" s="5" t="s">
        <v>17</v>
      </c>
      <c r="D63" s="5">
        <v>537</v>
      </c>
    </row>
    <row r="64" spans="1:4" s="15" customFormat="1" x14ac:dyDescent="0.25">
      <c r="A64" s="5"/>
      <c r="B64" s="5" t="s">
        <v>71</v>
      </c>
      <c r="C64" s="5"/>
      <c r="D64" s="8">
        <f>D60*0.421</f>
        <v>44.020602000000004</v>
      </c>
    </row>
    <row r="65" spans="1:4" s="15" customFormat="1" x14ac:dyDescent="0.25">
      <c r="A65" s="5"/>
      <c r="B65" s="5" t="s">
        <v>22</v>
      </c>
      <c r="C65" s="5"/>
      <c r="D65" s="8">
        <f>(D60+D61+D62+D64)*0.15</f>
        <v>107.5897332</v>
      </c>
    </row>
    <row r="66" spans="1:4" x14ac:dyDescent="0.25">
      <c r="A66" s="5"/>
      <c r="B66" s="5"/>
      <c r="C66" s="5"/>
      <c r="D66" s="5"/>
    </row>
    <row r="67" spans="1:4" x14ac:dyDescent="0.25">
      <c r="A67" s="5"/>
      <c r="B67" s="16" t="s">
        <v>99</v>
      </c>
      <c r="C67" s="18"/>
      <c r="D67" s="16">
        <v>3602.98</v>
      </c>
    </row>
    <row r="68" spans="1:4" s="15" customFormat="1" x14ac:dyDescent="0.25">
      <c r="A68" s="5"/>
      <c r="B68" s="5" t="s">
        <v>216</v>
      </c>
      <c r="C68" s="5"/>
      <c r="D68" s="8">
        <f>D67*0.12</f>
        <v>432.35759999999999</v>
      </c>
    </row>
    <row r="69" spans="1:4" s="15" customFormat="1" x14ac:dyDescent="0.25">
      <c r="A69" s="5"/>
      <c r="B69" s="5" t="s">
        <v>22</v>
      </c>
      <c r="C69" s="5"/>
      <c r="D69" s="8">
        <f>(D67+D68)*0.15</f>
        <v>605.30063999999993</v>
      </c>
    </row>
    <row r="70" spans="1:4" s="15" customFormat="1" x14ac:dyDescent="0.25">
      <c r="A70" s="5"/>
      <c r="B70" s="5" t="s">
        <v>10</v>
      </c>
      <c r="C70" s="5"/>
      <c r="D70" s="8">
        <f>SUM(D67:D69)</f>
        <v>4640.6382400000002</v>
      </c>
    </row>
    <row r="71" spans="1:4" x14ac:dyDescent="0.25">
      <c r="A71" s="5"/>
      <c r="B71" s="16" t="s">
        <v>100</v>
      </c>
      <c r="C71" s="18"/>
      <c r="D71" s="16">
        <v>90000</v>
      </c>
    </row>
    <row r="72" spans="1:4" s="15" customFormat="1" x14ac:dyDescent="0.25">
      <c r="A72" s="5"/>
      <c r="B72" s="5" t="s">
        <v>216</v>
      </c>
      <c r="C72" s="5"/>
      <c r="D72" s="8">
        <f>D71*0.12</f>
        <v>10800</v>
      </c>
    </row>
    <row r="73" spans="1:4" x14ac:dyDescent="0.25">
      <c r="A73" s="5"/>
      <c r="B73" s="5" t="s">
        <v>22</v>
      </c>
      <c r="C73" s="5"/>
      <c r="D73" s="8">
        <f>(D71+D72)*0.15</f>
        <v>15120</v>
      </c>
    </row>
    <row r="74" spans="1:4" s="15" customFormat="1" x14ac:dyDescent="0.25">
      <c r="A74" s="5"/>
      <c r="B74" s="5" t="s">
        <v>10</v>
      </c>
      <c r="C74" s="5"/>
      <c r="D74" s="8">
        <f>SUM(D71:D73)</f>
        <v>115920</v>
      </c>
    </row>
    <row r="75" spans="1:4" x14ac:dyDescent="0.25">
      <c r="A75" s="5"/>
      <c r="B75" s="5" t="s">
        <v>60</v>
      </c>
      <c r="C75" s="5"/>
      <c r="D75" s="8">
        <f>D74+D70+D4</f>
        <v>150450.38370840001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9" sqref="F19"/>
    </sheetView>
  </sheetViews>
  <sheetFormatPr defaultRowHeight="15" x14ac:dyDescent="0.25"/>
  <cols>
    <col min="1" max="1" width="34.140625" customWidth="1"/>
    <col min="2" max="2" width="12.5703125" customWidth="1"/>
    <col min="3" max="3" width="16.140625" customWidth="1"/>
    <col min="4" max="5" width="14.42578125" customWidth="1"/>
    <col min="6" max="6" width="15.28515625" customWidth="1"/>
    <col min="7" max="7" width="14.85546875" customWidth="1"/>
  </cols>
  <sheetData>
    <row r="1" spans="1:7" ht="15.75" x14ac:dyDescent="0.25">
      <c r="A1" s="42" t="s">
        <v>184</v>
      </c>
      <c r="B1" s="42"/>
      <c r="C1" s="42"/>
      <c r="D1" s="42"/>
      <c r="E1" s="42"/>
      <c r="F1" s="42"/>
      <c r="G1" s="42"/>
    </row>
    <row r="3" spans="1:7" x14ac:dyDescent="0.25">
      <c r="A3" s="44" t="s">
        <v>0</v>
      </c>
      <c r="B3" s="45">
        <v>2110.3000000000002</v>
      </c>
      <c r="C3" s="43" t="s">
        <v>101</v>
      </c>
      <c r="D3" s="47" t="s">
        <v>212</v>
      </c>
      <c r="E3" s="43" t="s">
        <v>209</v>
      </c>
      <c r="F3" s="43" t="s">
        <v>210</v>
      </c>
      <c r="G3" s="43" t="s">
        <v>211</v>
      </c>
    </row>
    <row r="4" spans="1:7" ht="33.75" customHeight="1" x14ac:dyDescent="0.25">
      <c r="A4" s="44"/>
      <c r="B4" s="46"/>
      <c r="C4" s="43"/>
      <c r="D4" s="48"/>
      <c r="E4" s="43"/>
      <c r="F4" s="43"/>
      <c r="G4" s="43"/>
    </row>
    <row r="5" spans="1:7" x14ac:dyDescent="0.25">
      <c r="A5" s="16" t="s">
        <v>2</v>
      </c>
      <c r="B5" s="18">
        <v>2.87</v>
      </c>
      <c r="C5" s="19"/>
      <c r="D5" s="19"/>
      <c r="E5" s="19"/>
      <c r="F5" s="20">
        <f>B5*B3*12</f>
        <v>72678.732000000004</v>
      </c>
      <c r="G5" s="19"/>
    </row>
    <row r="6" spans="1:7" x14ac:dyDescent="0.25">
      <c r="A6" s="16" t="s">
        <v>3</v>
      </c>
      <c r="B6" s="18">
        <v>3.55</v>
      </c>
      <c r="C6" s="18" t="s">
        <v>102</v>
      </c>
      <c r="D6" s="18"/>
      <c r="E6" s="18"/>
      <c r="F6" s="18">
        <v>90095.19</v>
      </c>
      <c r="G6" s="18"/>
    </row>
    <row r="7" spans="1:7" x14ac:dyDescent="0.25">
      <c r="A7" s="16" t="s">
        <v>4</v>
      </c>
      <c r="B7" s="18">
        <v>4.9800000000000004</v>
      </c>
      <c r="C7" s="16"/>
      <c r="D7" s="18"/>
      <c r="E7" s="18"/>
      <c r="F7" s="21">
        <f>B7*B3*12</f>
        <v>126111.52800000002</v>
      </c>
      <c r="G7" s="18"/>
    </row>
    <row r="8" spans="1:7" x14ac:dyDescent="0.25">
      <c r="A8" s="16" t="s">
        <v>103</v>
      </c>
      <c r="B8" s="18"/>
      <c r="C8" s="16"/>
      <c r="D8" s="18">
        <v>288425.7</v>
      </c>
      <c r="E8" s="18">
        <v>270224.03999999998</v>
      </c>
      <c r="F8" s="21"/>
      <c r="G8" s="18"/>
    </row>
    <row r="9" spans="1:7" x14ac:dyDescent="0.25">
      <c r="A9" s="16" t="s">
        <v>59</v>
      </c>
      <c r="B9" s="18">
        <v>0.4</v>
      </c>
      <c r="C9" s="16"/>
      <c r="D9" s="18">
        <v>10124.16</v>
      </c>
      <c r="E9" s="18">
        <v>8670.56</v>
      </c>
      <c r="F9" s="21">
        <f>D9</f>
        <v>10124.16</v>
      </c>
      <c r="G9" s="18"/>
    </row>
    <row r="10" spans="1:7" x14ac:dyDescent="0.25">
      <c r="A10" s="16" t="s">
        <v>6</v>
      </c>
      <c r="B10" s="18">
        <v>0.04</v>
      </c>
      <c r="C10" s="16"/>
      <c r="D10" s="18">
        <v>1012.56</v>
      </c>
      <c r="E10" s="18">
        <v>855.16</v>
      </c>
      <c r="F10" s="21">
        <f>D10</f>
        <v>1012.56</v>
      </c>
      <c r="G10" s="18"/>
    </row>
    <row r="11" spans="1:7" s="15" customFormat="1" ht="30" x14ac:dyDescent="0.25">
      <c r="A11" s="11" t="s">
        <v>7</v>
      </c>
      <c r="B11" s="26"/>
      <c r="C11" s="16"/>
      <c r="D11" s="26">
        <v>750</v>
      </c>
      <c r="E11" s="26"/>
      <c r="F11" s="21"/>
      <c r="G11" s="26"/>
    </row>
    <row r="12" spans="1:7" x14ac:dyDescent="0.25">
      <c r="A12" s="16" t="s">
        <v>9</v>
      </c>
      <c r="B12" s="18"/>
      <c r="C12" s="16">
        <v>2000</v>
      </c>
      <c r="D12" s="18"/>
      <c r="E12" s="18">
        <v>2500</v>
      </c>
      <c r="F12" s="16"/>
      <c r="G12" s="18"/>
    </row>
    <row r="13" spans="1:7" x14ac:dyDescent="0.25">
      <c r="A13" s="16" t="s">
        <v>10</v>
      </c>
      <c r="B13" s="18"/>
      <c r="C13" s="18">
        <v>17139.97</v>
      </c>
      <c r="D13" s="18">
        <f>SUM(D8:D12)</f>
        <v>300312.42</v>
      </c>
      <c r="E13" s="18">
        <f>SUM(E8:E12)</f>
        <v>282249.75999999995</v>
      </c>
      <c r="F13" s="17">
        <f>SUM(F5:F12)</f>
        <v>300022.17000000004</v>
      </c>
      <c r="G13" s="21">
        <f>C13+E13-F13</f>
        <v>-632.44000000006054</v>
      </c>
    </row>
  </sheetData>
  <mergeCells count="8">
    <mergeCell ref="A1:G1"/>
    <mergeCell ref="F3:F4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workbookViewId="0">
      <selection activeCell="F3" sqref="F3:I11"/>
    </sheetView>
  </sheetViews>
  <sheetFormatPr defaultRowHeight="15.75" x14ac:dyDescent="0.25"/>
  <cols>
    <col min="1" max="1" width="9.140625" style="4"/>
    <col min="2" max="2" width="44.7109375" style="4" customWidth="1"/>
    <col min="3" max="3" width="9.140625" style="4"/>
    <col min="4" max="4" width="9.5703125" style="32" bestFit="1" customWidth="1"/>
    <col min="6" max="6" width="44.140625" customWidth="1"/>
  </cols>
  <sheetData>
    <row r="3" spans="1:9" x14ac:dyDescent="0.25">
      <c r="A3" s="5"/>
      <c r="B3" s="5" t="s">
        <v>117</v>
      </c>
      <c r="C3" s="5"/>
      <c r="D3" s="30"/>
      <c r="F3" s="6" t="s">
        <v>308</v>
      </c>
      <c r="G3" s="6" t="s">
        <v>309</v>
      </c>
      <c r="H3" s="6" t="s">
        <v>312</v>
      </c>
      <c r="I3" s="6" t="s">
        <v>310</v>
      </c>
    </row>
    <row r="4" spans="1:9" x14ac:dyDescent="0.25">
      <c r="A4" s="13">
        <v>1</v>
      </c>
      <c r="B4" s="13" t="s">
        <v>11</v>
      </c>
      <c r="C4" s="5"/>
      <c r="D4" s="31">
        <f>D5+D12+D19+D26+D34+D41</f>
        <v>12811.412969599998</v>
      </c>
      <c r="F4" s="5" t="s">
        <v>316</v>
      </c>
      <c r="G4" s="5" t="s">
        <v>311</v>
      </c>
      <c r="H4" s="5">
        <v>1</v>
      </c>
      <c r="I4" s="5">
        <v>920.61</v>
      </c>
    </row>
    <row r="5" spans="1:9" x14ac:dyDescent="0.25">
      <c r="A5" s="5" t="s">
        <v>12</v>
      </c>
      <c r="B5" s="5" t="s">
        <v>104</v>
      </c>
      <c r="C5" s="5"/>
      <c r="D5" s="31">
        <f>D6+D7+D8+D10+D11</f>
        <v>230.30462120000001</v>
      </c>
      <c r="F5" s="5" t="s">
        <v>106</v>
      </c>
      <c r="G5" s="5" t="s">
        <v>311</v>
      </c>
      <c r="H5" s="5"/>
      <c r="I5" s="5">
        <v>8792.36</v>
      </c>
    </row>
    <row r="6" spans="1:9" x14ac:dyDescent="0.25">
      <c r="A6" s="5"/>
      <c r="B6" s="5" t="s">
        <v>14</v>
      </c>
      <c r="C6" s="5" t="s">
        <v>72</v>
      </c>
      <c r="D6" s="31">
        <f>58.09*1.8</f>
        <v>104.56200000000001</v>
      </c>
      <c r="F6" s="5" t="s">
        <v>315</v>
      </c>
      <c r="G6" s="5" t="s">
        <v>313</v>
      </c>
      <c r="H6" s="5">
        <v>5</v>
      </c>
      <c r="I6" s="5">
        <v>3098.44</v>
      </c>
    </row>
    <row r="7" spans="1:9" x14ac:dyDescent="0.25">
      <c r="A7" s="5"/>
      <c r="B7" s="5" t="s">
        <v>63</v>
      </c>
      <c r="C7" s="5"/>
      <c r="D7" s="31">
        <f>D6*0.303</f>
        <v>31.682286000000001</v>
      </c>
      <c r="F7" s="5" t="s">
        <v>186</v>
      </c>
      <c r="G7" s="5"/>
      <c r="H7" s="5"/>
      <c r="I7" s="5">
        <v>8633.3700000000008</v>
      </c>
    </row>
    <row r="8" spans="1:9" x14ac:dyDescent="0.25">
      <c r="A8" s="5"/>
      <c r="B8" s="5" t="s">
        <v>81</v>
      </c>
      <c r="C8" s="5"/>
      <c r="D8" s="30">
        <f>D9</f>
        <v>20</v>
      </c>
      <c r="F8" s="5" t="s">
        <v>116</v>
      </c>
      <c r="G8" s="5" t="s">
        <v>313</v>
      </c>
      <c r="H8" s="5">
        <v>1</v>
      </c>
      <c r="I8" s="5">
        <v>42504</v>
      </c>
    </row>
    <row r="9" spans="1:9" x14ac:dyDescent="0.25">
      <c r="A9" s="5"/>
      <c r="B9" s="5" t="s">
        <v>105</v>
      </c>
      <c r="C9" s="5" t="s">
        <v>17</v>
      </c>
      <c r="D9" s="30">
        <v>20</v>
      </c>
      <c r="F9" s="16" t="s">
        <v>217</v>
      </c>
      <c r="G9" s="5"/>
      <c r="H9" s="5"/>
      <c r="I9" s="5">
        <v>6440</v>
      </c>
    </row>
    <row r="10" spans="1:9" x14ac:dyDescent="0.25">
      <c r="A10" s="5"/>
      <c r="B10" s="5" t="s">
        <v>21</v>
      </c>
      <c r="C10" s="5"/>
      <c r="D10" s="31">
        <f>D6*0.421</f>
        <v>44.020602000000004</v>
      </c>
      <c r="F10" s="5" t="s">
        <v>215</v>
      </c>
      <c r="G10" s="7" t="s">
        <v>313</v>
      </c>
      <c r="H10" s="29">
        <v>1</v>
      </c>
      <c r="I10" s="7">
        <v>17388</v>
      </c>
    </row>
    <row r="11" spans="1:9" ht="31.5" x14ac:dyDescent="0.25">
      <c r="A11" s="5"/>
      <c r="B11" s="5" t="s">
        <v>22</v>
      </c>
      <c r="C11" s="5"/>
      <c r="D11" s="31">
        <f>(D6+D7+D8+D10)*0.15</f>
        <v>30.039733200000001</v>
      </c>
      <c r="F11" s="14" t="s">
        <v>299</v>
      </c>
      <c r="G11" s="29"/>
      <c r="H11" s="29"/>
      <c r="I11" s="7">
        <v>2318.4</v>
      </c>
    </row>
    <row r="12" spans="1:9" s="15" customFormat="1" x14ac:dyDescent="0.25">
      <c r="A12" s="5" t="s">
        <v>23</v>
      </c>
      <c r="B12" s="5" t="s">
        <v>106</v>
      </c>
      <c r="C12" s="5"/>
      <c r="D12" s="31">
        <f>D13+D14+D15+D17+D18</f>
        <v>8792.3592423999999</v>
      </c>
    </row>
    <row r="13" spans="1:9" x14ac:dyDescent="0.25">
      <c r="A13" s="5"/>
      <c r="B13" s="5" t="s">
        <v>14</v>
      </c>
      <c r="C13" s="5" t="s">
        <v>107</v>
      </c>
      <c r="D13" s="31">
        <f>58.09*2*1.8</f>
        <v>209.12400000000002</v>
      </c>
    </row>
    <row r="14" spans="1:9" x14ac:dyDescent="0.25">
      <c r="A14" s="5"/>
      <c r="B14" s="5" t="s">
        <v>63</v>
      </c>
      <c r="C14" s="5"/>
      <c r="D14" s="31">
        <f>D13*0.303</f>
        <v>63.364572000000003</v>
      </c>
    </row>
    <row r="15" spans="1:9" x14ac:dyDescent="0.25">
      <c r="A15" s="5"/>
      <c r="B15" s="5" t="s">
        <v>81</v>
      </c>
      <c r="C15" s="5"/>
      <c r="D15" s="30">
        <f>D16</f>
        <v>7285</v>
      </c>
    </row>
    <row r="16" spans="1:9" x14ac:dyDescent="0.25">
      <c r="A16" s="5"/>
      <c r="B16" s="16" t="s">
        <v>108</v>
      </c>
      <c r="C16" s="5" t="s">
        <v>17</v>
      </c>
      <c r="D16" s="30">
        <v>7285</v>
      </c>
    </row>
    <row r="17" spans="1:9" x14ac:dyDescent="0.25">
      <c r="A17" s="5"/>
      <c r="B17" s="5" t="s">
        <v>21</v>
      </c>
      <c r="C17" s="5"/>
      <c r="D17" s="31">
        <f>D13*0.421</f>
        <v>88.041204000000008</v>
      </c>
    </row>
    <row r="18" spans="1:9" x14ac:dyDescent="0.25">
      <c r="A18" s="5"/>
      <c r="B18" s="5" t="s">
        <v>22</v>
      </c>
      <c r="C18" s="5"/>
      <c r="D18" s="30">
        <f>(D13+D14+D15+D17)*0.15</f>
        <v>1146.8294664</v>
      </c>
    </row>
    <row r="19" spans="1:9" ht="31.5" x14ac:dyDescent="0.25">
      <c r="A19" s="5" t="s">
        <v>34</v>
      </c>
      <c r="B19" s="14" t="s">
        <v>109</v>
      </c>
      <c r="C19" s="5"/>
      <c r="D19" s="31">
        <f>D20+D21+D22+D24+D25</f>
        <v>1212.4046211999998</v>
      </c>
    </row>
    <row r="20" spans="1:9" x14ac:dyDescent="0.25">
      <c r="A20" s="5"/>
      <c r="B20" s="5" t="s">
        <v>14</v>
      </c>
      <c r="C20" s="5" t="s">
        <v>110</v>
      </c>
      <c r="D20" s="31">
        <f>58.09*1.8</f>
        <v>104.56200000000001</v>
      </c>
      <c r="F20" s="33"/>
      <c r="G20" s="33"/>
      <c r="H20" s="33"/>
      <c r="I20" s="33"/>
    </row>
    <row r="21" spans="1:9" x14ac:dyDescent="0.25">
      <c r="A21" s="5"/>
      <c r="B21" s="5" t="s">
        <v>63</v>
      </c>
      <c r="C21" s="5"/>
      <c r="D21" s="31">
        <f>D20*0.303</f>
        <v>31.682286000000001</v>
      </c>
      <c r="F21" s="34"/>
      <c r="G21" s="34"/>
      <c r="H21" s="34"/>
      <c r="I21" s="34"/>
    </row>
    <row r="22" spans="1:9" x14ac:dyDescent="0.25">
      <c r="A22" s="5"/>
      <c r="B22" s="5" t="s">
        <v>81</v>
      </c>
      <c r="C22" s="5"/>
      <c r="D22" s="30">
        <f>D23</f>
        <v>874</v>
      </c>
      <c r="F22" s="35"/>
      <c r="G22" s="35"/>
      <c r="H22" s="35"/>
      <c r="I22" s="35"/>
    </row>
    <row r="23" spans="1:9" x14ac:dyDescent="0.25">
      <c r="A23" s="5"/>
      <c r="B23" s="5" t="s">
        <v>111</v>
      </c>
      <c r="C23" s="5" t="s">
        <v>48</v>
      </c>
      <c r="D23" s="30">
        <v>874</v>
      </c>
      <c r="F23" s="35"/>
      <c r="G23" s="35"/>
      <c r="H23" s="35"/>
      <c r="I23" s="35"/>
    </row>
    <row r="24" spans="1:9" x14ac:dyDescent="0.25">
      <c r="A24" s="5"/>
      <c r="B24" s="5" t="s">
        <v>21</v>
      </c>
      <c r="C24" s="5"/>
      <c r="D24" s="31">
        <f>D20*0.421</f>
        <v>44.020602000000004</v>
      </c>
      <c r="F24" s="35"/>
      <c r="G24" s="35"/>
      <c r="H24" s="35"/>
      <c r="I24" s="35"/>
    </row>
    <row r="25" spans="1:9" x14ac:dyDescent="0.25">
      <c r="A25" s="5"/>
      <c r="B25" s="5" t="s">
        <v>22</v>
      </c>
      <c r="C25" s="5"/>
      <c r="D25" s="30">
        <f>(D20+D21+D22+D24)*0.15</f>
        <v>158.13973319999999</v>
      </c>
      <c r="F25" s="35"/>
      <c r="G25" s="35"/>
      <c r="H25" s="35"/>
      <c r="I25" s="35"/>
    </row>
    <row r="26" spans="1:9" ht="31.5" x14ac:dyDescent="0.25">
      <c r="A26" s="5" t="s">
        <v>79</v>
      </c>
      <c r="B26" s="14" t="s">
        <v>112</v>
      </c>
      <c r="C26" s="5"/>
      <c r="D26" s="31">
        <f>D27+D28+D29+D32+D33</f>
        <v>920.60924239999997</v>
      </c>
      <c r="F26" s="35"/>
      <c r="G26" s="35"/>
      <c r="H26" s="35"/>
      <c r="I26" s="35"/>
    </row>
    <row r="27" spans="1:9" x14ac:dyDescent="0.25">
      <c r="A27" s="5"/>
      <c r="B27" s="5" t="s">
        <v>14</v>
      </c>
      <c r="C27" s="5" t="s">
        <v>107</v>
      </c>
      <c r="D27" s="31">
        <f>58.09*2*1.8</f>
        <v>209.12400000000002</v>
      </c>
      <c r="F27" s="36"/>
      <c r="G27" s="35"/>
      <c r="H27" s="35"/>
      <c r="I27" s="35"/>
    </row>
    <row r="28" spans="1:9" x14ac:dyDescent="0.25">
      <c r="A28" s="5"/>
      <c r="B28" s="5" t="s">
        <v>63</v>
      </c>
      <c r="C28" s="5"/>
      <c r="D28" s="31">
        <f>D27*0.303</f>
        <v>63.364572000000003</v>
      </c>
    </row>
    <row r="29" spans="1:9" x14ac:dyDescent="0.25">
      <c r="A29" s="5"/>
      <c r="B29" s="5" t="s">
        <v>81</v>
      </c>
      <c r="C29" s="5"/>
      <c r="D29" s="30">
        <f>D30+D31</f>
        <v>440</v>
      </c>
    </row>
    <row r="30" spans="1:9" x14ac:dyDescent="0.25">
      <c r="A30" s="5"/>
      <c r="B30" s="16" t="s">
        <v>113</v>
      </c>
      <c r="C30" s="5" t="s">
        <v>17</v>
      </c>
      <c r="D30" s="30">
        <v>235</v>
      </c>
    </row>
    <row r="31" spans="1:9" x14ac:dyDescent="0.25">
      <c r="A31" s="5"/>
      <c r="B31" s="16" t="s">
        <v>114</v>
      </c>
      <c r="C31" s="5" t="s">
        <v>17</v>
      </c>
      <c r="D31" s="30">
        <v>205</v>
      </c>
    </row>
    <row r="32" spans="1:9" x14ac:dyDescent="0.25">
      <c r="A32" s="5"/>
      <c r="B32" s="5" t="s">
        <v>21</v>
      </c>
      <c r="C32" s="5"/>
      <c r="D32" s="31">
        <f>D27*0.421</f>
        <v>88.041204000000008</v>
      </c>
    </row>
    <row r="33" spans="1:4" x14ac:dyDescent="0.25">
      <c r="A33" s="5"/>
      <c r="B33" s="5" t="s">
        <v>22</v>
      </c>
      <c r="C33" s="5"/>
      <c r="D33" s="31">
        <f>(D27+D28+D29+D32)*0.15</f>
        <v>120.07946639999999</v>
      </c>
    </row>
    <row r="34" spans="1:4" s="15" customFormat="1" x14ac:dyDescent="0.25">
      <c r="A34" s="5" t="s">
        <v>83</v>
      </c>
      <c r="B34" s="5" t="s">
        <v>213</v>
      </c>
      <c r="C34" s="5"/>
      <c r="D34" s="31">
        <f>D35+D36+D39+D40+D37</f>
        <v>827.86762120000003</v>
      </c>
    </row>
    <row r="35" spans="1:4" s="15" customFormat="1" x14ac:dyDescent="0.25">
      <c r="A35" s="5"/>
      <c r="B35" s="5" t="s">
        <v>14</v>
      </c>
      <c r="C35" s="5" t="s">
        <v>72</v>
      </c>
      <c r="D35" s="31">
        <f>58.09*1*1.8</f>
        <v>104.56200000000001</v>
      </c>
    </row>
    <row r="36" spans="1:4" s="15" customFormat="1" x14ac:dyDescent="0.25">
      <c r="A36" s="5"/>
      <c r="B36" s="5" t="s">
        <v>63</v>
      </c>
      <c r="C36" s="5"/>
      <c r="D36" s="31">
        <f>D35*0.303</f>
        <v>31.682286000000001</v>
      </c>
    </row>
    <row r="37" spans="1:4" s="15" customFormat="1" x14ac:dyDescent="0.25">
      <c r="A37" s="5"/>
      <c r="B37" s="5" t="s">
        <v>81</v>
      </c>
      <c r="C37" s="5"/>
      <c r="D37" s="31">
        <f>D38</f>
        <v>539.62</v>
      </c>
    </row>
    <row r="38" spans="1:4" s="15" customFormat="1" x14ac:dyDescent="0.25">
      <c r="A38" s="5"/>
      <c r="B38" s="5" t="s">
        <v>214</v>
      </c>
      <c r="C38" s="5" t="s">
        <v>17</v>
      </c>
      <c r="D38" s="31">
        <v>539.62</v>
      </c>
    </row>
    <row r="39" spans="1:4" s="15" customFormat="1" x14ac:dyDescent="0.25">
      <c r="A39" s="5"/>
      <c r="B39" s="5" t="s">
        <v>21</v>
      </c>
      <c r="C39" s="5"/>
      <c r="D39" s="31">
        <f>D35*0.421</f>
        <v>44.020602000000004</v>
      </c>
    </row>
    <row r="40" spans="1:4" x14ac:dyDescent="0.25">
      <c r="A40" s="5"/>
      <c r="B40" s="5" t="s">
        <v>22</v>
      </c>
      <c r="C40" s="5"/>
      <c r="D40" s="31">
        <f>(D35+D36+D37+D39)*0.15</f>
        <v>107.9827332</v>
      </c>
    </row>
    <row r="41" spans="1:4" s="15" customFormat="1" x14ac:dyDescent="0.25">
      <c r="A41" s="5" t="s">
        <v>142</v>
      </c>
      <c r="B41" s="5" t="s">
        <v>213</v>
      </c>
      <c r="C41" s="5"/>
      <c r="D41" s="31">
        <f>D42+D43+D46+D47+D44</f>
        <v>827.86762120000003</v>
      </c>
    </row>
    <row r="42" spans="1:4" s="15" customFormat="1" x14ac:dyDescent="0.25">
      <c r="A42" s="5"/>
      <c r="B42" s="5" t="s">
        <v>14</v>
      </c>
      <c r="C42" s="5" t="s">
        <v>72</v>
      </c>
      <c r="D42" s="31">
        <f>58.09*1*1.8</f>
        <v>104.56200000000001</v>
      </c>
    </row>
    <row r="43" spans="1:4" s="15" customFormat="1" x14ac:dyDescent="0.25">
      <c r="A43" s="5"/>
      <c r="B43" s="5" t="s">
        <v>63</v>
      </c>
      <c r="C43" s="5"/>
      <c r="D43" s="31">
        <f>D42*0.303</f>
        <v>31.682286000000001</v>
      </c>
    </row>
    <row r="44" spans="1:4" s="15" customFormat="1" x14ac:dyDescent="0.25">
      <c r="A44" s="5"/>
      <c r="B44" s="5" t="s">
        <v>81</v>
      </c>
      <c r="C44" s="5"/>
      <c r="D44" s="31">
        <f>D45</f>
        <v>539.62</v>
      </c>
    </row>
    <row r="45" spans="1:4" s="15" customFormat="1" x14ac:dyDescent="0.25">
      <c r="A45" s="5"/>
      <c r="B45" s="5" t="s">
        <v>214</v>
      </c>
      <c r="C45" s="5" t="s">
        <v>17</v>
      </c>
      <c r="D45" s="31">
        <v>539.62</v>
      </c>
    </row>
    <row r="46" spans="1:4" s="15" customFormat="1" x14ac:dyDescent="0.25">
      <c r="A46" s="5"/>
      <c r="B46" s="5" t="s">
        <v>21</v>
      </c>
      <c r="C46" s="5"/>
      <c r="D46" s="31">
        <f>D42*0.421</f>
        <v>44.020602000000004</v>
      </c>
    </row>
    <row r="47" spans="1:4" s="15" customFormat="1" x14ac:dyDescent="0.25">
      <c r="A47" s="5"/>
      <c r="B47" s="5" t="s">
        <v>22</v>
      </c>
      <c r="C47" s="5"/>
      <c r="D47" s="31">
        <f>(D42+D43+D44+D46)*0.15</f>
        <v>107.9827332</v>
      </c>
    </row>
    <row r="48" spans="1:4" x14ac:dyDescent="0.25">
      <c r="A48" s="5"/>
      <c r="B48" s="5"/>
      <c r="C48" s="5"/>
      <c r="D48" s="30"/>
    </row>
    <row r="49" spans="1:4" x14ac:dyDescent="0.25">
      <c r="A49" s="5"/>
      <c r="B49" s="11" t="s">
        <v>115</v>
      </c>
      <c r="C49" s="5"/>
      <c r="D49" s="30">
        <v>6702.93</v>
      </c>
    </row>
    <row r="50" spans="1:4" s="15" customFormat="1" x14ac:dyDescent="0.25">
      <c r="A50" s="5"/>
      <c r="B50" s="5" t="s">
        <v>216</v>
      </c>
      <c r="C50" s="5"/>
      <c r="D50" s="30">
        <f>D49*0.12</f>
        <v>804.35159999999996</v>
      </c>
    </row>
    <row r="51" spans="1:4" s="15" customFormat="1" x14ac:dyDescent="0.25">
      <c r="A51" s="5"/>
      <c r="B51" s="16" t="s">
        <v>127</v>
      </c>
      <c r="C51" s="5"/>
      <c r="D51" s="30">
        <f>(D49+D50)*0.15</f>
        <v>1126.0922399999999</v>
      </c>
    </row>
    <row r="52" spans="1:4" s="15" customFormat="1" x14ac:dyDescent="0.25">
      <c r="A52" s="5"/>
      <c r="B52" s="16" t="s">
        <v>10</v>
      </c>
      <c r="C52" s="5"/>
      <c r="D52" s="30">
        <f>SUM(D49:D51)</f>
        <v>8633.3738400000002</v>
      </c>
    </row>
    <row r="53" spans="1:4" x14ac:dyDescent="0.25">
      <c r="A53" s="5"/>
      <c r="B53" s="16" t="s">
        <v>116</v>
      </c>
      <c r="C53" s="5"/>
      <c r="D53" s="30">
        <v>33000</v>
      </c>
    </row>
    <row r="54" spans="1:4" s="15" customFormat="1" x14ac:dyDescent="0.25">
      <c r="A54" s="5"/>
      <c r="B54" s="5" t="s">
        <v>216</v>
      </c>
      <c r="C54" s="5"/>
      <c r="D54" s="30">
        <f>D53*0.12</f>
        <v>3960</v>
      </c>
    </row>
    <row r="55" spans="1:4" s="15" customFormat="1" x14ac:dyDescent="0.25">
      <c r="A55" s="5"/>
      <c r="B55" s="16" t="s">
        <v>127</v>
      </c>
      <c r="C55" s="5"/>
      <c r="D55" s="30">
        <f>(D53+D54)*0.15</f>
        <v>5544</v>
      </c>
    </row>
    <row r="56" spans="1:4" s="15" customFormat="1" x14ac:dyDescent="0.25">
      <c r="A56" s="5"/>
      <c r="B56" s="16" t="s">
        <v>10</v>
      </c>
      <c r="C56" s="5"/>
      <c r="D56" s="30">
        <f>SUM(D53:D55)</f>
        <v>42504</v>
      </c>
    </row>
    <row r="57" spans="1:4" s="15" customFormat="1" x14ac:dyDescent="0.25">
      <c r="A57" s="5"/>
      <c r="B57" s="16" t="s">
        <v>217</v>
      </c>
      <c r="C57" s="5"/>
      <c r="D57" s="30">
        <v>5000</v>
      </c>
    </row>
    <row r="58" spans="1:4" s="15" customFormat="1" x14ac:dyDescent="0.25">
      <c r="A58" s="5"/>
      <c r="B58" s="5" t="s">
        <v>216</v>
      </c>
      <c r="C58" s="5"/>
      <c r="D58" s="30">
        <f>D57*0.12</f>
        <v>600</v>
      </c>
    </row>
    <row r="59" spans="1:4" s="15" customFormat="1" x14ac:dyDescent="0.25">
      <c r="A59" s="5"/>
      <c r="B59" s="16" t="s">
        <v>127</v>
      </c>
      <c r="C59" s="5"/>
      <c r="D59" s="30">
        <f>(D57+D58)*0.15</f>
        <v>840</v>
      </c>
    </row>
    <row r="60" spans="1:4" s="15" customFormat="1" x14ac:dyDescent="0.25">
      <c r="A60" s="5"/>
      <c r="B60" s="16" t="s">
        <v>10</v>
      </c>
      <c r="C60" s="5"/>
      <c r="D60" s="30">
        <f>SUM(D57:D59)</f>
        <v>6440</v>
      </c>
    </row>
    <row r="61" spans="1:4" s="15" customFormat="1" x14ac:dyDescent="0.25">
      <c r="A61" s="5"/>
      <c r="B61" s="5" t="s">
        <v>215</v>
      </c>
      <c r="C61" s="5"/>
      <c r="D61" s="30">
        <v>13500</v>
      </c>
    </row>
    <row r="62" spans="1:4" s="15" customFormat="1" x14ac:dyDescent="0.25">
      <c r="A62" s="5"/>
      <c r="B62" s="5" t="s">
        <v>216</v>
      </c>
      <c r="C62" s="5"/>
      <c r="D62" s="30">
        <f>D61*0.12</f>
        <v>1620</v>
      </c>
    </row>
    <row r="63" spans="1:4" s="15" customFormat="1" x14ac:dyDescent="0.25">
      <c r="A63" s="5"/>
      <c r="B63" s="16" t="s">
        <v>127</v>
      </c>
      <c r="C63" s="5"/>
      <c r="D63" s="30">
        <f>(D61+D62)*0.15</f>
        <v>2268</v>
      </c>
    </row>
    <row r="64" spans="1:4" s="15" customFormat="1" x14ac:dyDescent="0.25">
      <c r="A64" s="5"/>
      <c r="B64" s="16" t="s">
        <v>10</v>
      </c>
      <c r="C64" s="5"/>
      <c r="D64" s="30">
        <f>SUM(D61:D63)</f>
        <v>17388</v>
      </c>
    </row>
    <row r="65" spans="1:4" s="15" customFormat="1" ht="31.5" x14ac:dyDescent="0.25">
      <c r="A65" s="5"/>
      <c r="B65" s="14" t="s">
        <v>299</v>
      </c>
      <c r="C65" s="5"/>
      <c r="D65" s="30">
        <v>1800</v>
      </c>
    </row>
    <row r="66" spans="1:4" s="15" customFormat="1" x14ac:dyDescent="0.25">
      <c r="A66" s="5"/>
      <c r="B66" s="5" t="s">
        <v>216</v>
      </c>
      <c r="C66" s="5"/>
      <c r="D66" s="30">
        <f>D65*0.12</f>
        <v>216</v>
      </c>
    </row>
    <row r="67" spans="1:4" s="15" customFormat="1" x14ac:dyDescent="0.25">
      <c r="A67" s="5"/>
      <c r="B67" s="16" t="s">
        <v>127</v>
      </c>
      <c r="C67" s="5"/>
      <c r="D67" s="30">
        <f>(D65+D66)*0.15</f>
        <v>302.39999999999998</v>
      </c>
    </row>
    <row r="68" spans="1:4" x14ac:dyDescent="0.25">
      <c r="A68" s="5"/>
      <c r="B68" s="16" t="s">
        <v>10</v>
      </c>
      <c r="C68" s="5"/>
      <c r="D68" s="30">
        <f>SUM(D65:D67)</f>
        <v>2318.4</v>
      </c>
    </row>
    <row r="69" spans="1:4" x14ac:dyDescent="0.25">
      <c r="A69" s="5"/>
      <c r="B69" s="5" t="s">
        <v>60</v>
      </c>
      <c r="C69" s="5"/>
      <c r="D69" s="31">
        <f>D4+D68+D64+D60+D56+D52</f>
        <v>90095.186809599996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G8" sqref="G8"/>
    </sheetView>
  </sheetViews>
  <sheetFormatPr defaultRowHeight="15" x14ac:dyDescent="0.25"/>
  <cols>
    <col min="1" max="1" width="35.42578125" customWidth="1"/>
    <col min="2" max="2" width="13.42578125" customWidth="1"/>
    <col min="3" max="3" width="14.7109375" customWidth="1"/>
    <col min="4" max="4" width="13.42578125" customWidth="1"/>
    <col min="5" max="5" width="14.5703125" customWidth="1"/>
    <col min="6" max="6" width="15.42578125" customWidth="1"/>
    <col min="7" max="7" width="15" customWidth="1"/>
  </cols>
  <sheetData>
    <row r="2" spans="1:7" ht="15.75" x14ac:dyDescent="0.25">
      <c r="A2" s="42" t="s">
        <v>181</v>
      </c>
      <c r="B2" s="42"/>
      <c r="C2" s="42"/>
      <c r="D2" s="42"/>
      <c r="E2" s="42"/>
      <c r="F2" s="42"/>
      <c r="G2" s="42"/>
    </row>
    <row r="4" spans="1:7" ht="30" x14ac:dyDescent="0.25">
      <c r="A4" s="16" t="s">
        <v>0</v>
      </c>
      <c r="B4" s="16">
        <v>1831.1</v>
      </c>
      <c r="C4" s="11" t="s">
        <v>1</v>
      </c>
      <c r="D4" s="11" t="s">
        <v>189</v>
      </c>
      <c r="E4" s="11" t="s">
        <v>218</v>
      </c>
      <c r="F4" s="11" t="s">
        <v>219</v>
      </c>
      <c r="G4" s="11" t="s">
        <v>208</v>
      </c>
    </row>
    <row r="5" spans="1:7" x14ac:dyDescent="0.25">
      <c r="A5" s="16" t="s">
        <v>2</v>
      </c>
      <c r="B5" s="16">
        <v>2.87</v>
      </c>
      <c r="C5" s="16"/>
      <c r="D5" s="16"/>
      <c r="E5" s="17"/>
      <c r="F5" s="17">
        <f>B5*B4*12</f>
        <v>63063.083999999995</v>
      </c>
      <c r="G5" s="16"/>
    </row>
    <row r="6" spans="1:7" x14ac:dyDescent="0.25">
      <c r="A6" s="16" t="s">
        <v>3</v>
      </c>
      <c r="B6" s="16">
        <v>3.55</v>
      </c>
      <c r="C6" s="16"/>
      <c r="D6" s="16"/>
      <c r="E6" s="17"/>
      <c r="F6" s="17">
        <v>26919.22</v>
      </c>
      <c r="G6" s="16"/>
    </row>
    <row r="7" spans="1:7" x14ac:dyDescent="0.25">
      <c r="A7" s="16" t="s">
        <v>4</v>
      </c>
      <c r="B7" s="16">
        <v>4.9800000000000004</v>
      </c>
      <c r="C7" s="16"/>
      <c r="D7" s="16"/>
      <c r="E7" s="17"/>
      <c r="F7" s="17">
        <f>B7*B4*12</f>
        <v>109426.53600000001</v>
      </c>
      <c r="G7" s="16"/>
    </row>
    <row r="8" spans="1:7" x14ac:dyDescent="0.25">
      <c r="A8" s="16" t="s">
        <v>5</v>
      </c>
      <c r="B8" s="16"/>
      <c r="C8" s="16"/>
      <c r="D8" s="16">
        <v>243914.4</v>
      </c>
      <c r="E8" s="17">
        <v>231239.29</v>
      </c>
      <c r="F8" s="17"/>
      <c r="G8" s="16"/>
    </row>
    <row r="9" spans="1:7" x14ac:dyDescent="0.25">
      <c r="A9" s="16" t="s">
        <v>59</v>
      </c>
      <c r="B9" s="16"/>
      <c r="C9" s="16"/>
      <c r="D9" s="16">
        <v>8986.56</v>
      </c>
      <c r="E9" s="17">
        <v>7758.96</v>
      </c>
      <c r="F9" s="17">
        <f>D9</f>
        <v>8986.56</v>
      </c>
      <c r="G9" s="16"/>
    </row>
    <row r="10" spans="1:7" x14ac:dyDescent="0.25">
      <c r="A10" s="16" t="s">
        <v>6</v>
      </c>
      <c r="B10" s="16"/>
      <c r="C10" s="16"/>
      <c r="D10" s="16">
        <v>1070.76</v>
      </c>
      <c r="E10" s="17">
        <v>914.87</v>
      </c>
      <c r="F10" s="17">
        <f>D10</f>
        <v>1070.76</v>
      </c>
      <c r="G10" s="16"/>
    </row>
    <row r="11" spans="1:7" ht="30" x14ac:dyDescent="0.25">
      <c r="A11" s="11" t="s">
        <v>7</v>
      </c>
      <c r="B11" s="16"/>
      <c r="C11" s="16">
        <v>500</v>
      </c>
      <c r="D11" s="16">
        <v>1200</v>
      </c>
      <c r="E11" s="17">
        <v>1600</v>
      </c>
      <c r="F11" s="17"/>
      <c r="G11" s="16"/>
    </row>
    <row r="12" spans="1:7" x14ac:dyDescent="0.25">
      <c r="A12" s="16" t="s">
        <v>9</v>
      </c>
      <c r="B12" s="16"/>
      <c r="C12" s="16"/>
      <c r="D12" s="16"/>
      <c r="E12" s="17">
        <v>500</v>
      </c>
      <c r="F12" s="17"/>
      <c r="G12" s="16"/>
    </row>
    <row r="13" spans="1:7" x14ac:dyDescent="0.25">
      <c r="A13" s="16" t="s">
        <v>10</v>
      </c>
      <c r="B13" s="16"/>
      <c r="C13" s="16">
        <v>22867.65</v>
      </c>
      <c r="D13" s="16">
        <f>SUM(D8:D12)</f>
        <v>255171.72</v>
      </c>
      <c r="E13" s="16">
        <f>SUM(E8:E12)</f>
        <v>242013.12</v>
      </c>
      <c r="F13" s="17">
        <f>SUM(F5:F12)</f>
        <v>209466.16000000003</v>
      </c>
      <c r="G13" s="17">
        <f>C13+E13-F13</f>
        <v>55414.609999999986</v>
      </c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3"/>
  <sheetViews>
    <sheetView workbookViewId="0">
      <selection activeCell="F3" sqref="F3:I8"/>
    </sheetView>
  </sheetViews>
  <sheetFormatPr defaultRowHeight="15.75" x14ac:dyDescent="0.25"/>
  <cols>
    <col min="1" max="1" width="9.140625" style="4"/>
    <col min="2" max="2" width="45.140625" style="4" customWidth="1"/>
    <col min="3" max="3" width="9.140625" style="4"/>
    <col min="4" max="4" width="9.5703125" style="32" bestFit="1" customWidth="1"/>
    <col min="6" max="6" width="46.42578125" customWidth="1"/>
  </cols>
  <sheetData>
    <row r="3" spans="1:9" x14ac:dyDescent="0.25">
      <c r="A3" s="5"/>
      <c r="B3" s="5" t="s">
        <v>117</v>
      </c>
      <c r="C3" s="5"/>
      <c r="D3" s="30"/>
      <c r="F3" s="6" t="s">
        <v>308</v>
      </c>
      <c r="G3" s="6" t="s">
        <v>309</v>
      </c>
      <c r="H3" s="6" t="s">
        <v>312</v>
      </c>
      <c r="I3" s="6" t="s">
        <v>310</v>
      </c>
    </row>
    <row r="4" spans="1:9" x14ac:dyDescent="0.25">
      <c r="A4" s="13">
        <v>1</v>
      </c>
      <c r="B4" s="13" t="s">
        <v>11</v>
      </c>
      <c r="C4" s="5"/>
      <c r="D4" s="31">
        <f>D5+D17+D28+D35+D42+D47+D55</f>
        <v>18460.961111600001</v>
      </c>
      <c r="F4" s="5" t="s">
        <v>317</v>
      </c>
      <c r="G4" s="5" t="s">
        <v>311</v>
      </c>
      <c r="H4" s="5">
        <v>4</v>
      </c>
      <c r="I4" s="5">
        <v>8686.56</v>
      </c>
    </row>
    <row r="5" spans="1:9" ht="31.5" x14ac:dyDescent="0.25">
      <c r="A5" s="5" t="s">
        <v>12</v>
      </c>
      <c r="B5" s="14" t="s">
        <v>118</v>
      </c>
      <c r="C5" s="5"/>
      <c r="D5" s="31">
        <f>D6+D7+D8+D15+D16</f>
        <v>5625.4181816</v>
      </c>
      <c r="F5" s="5" t="s">
        <v>318</v>
      </c>
      <c r="G5" s="5" t="s">
        <v>311</v>
      </c>
      <c r="H5" s="5">
        <v>18</v>
      </c>
      <c r="I5" s="5">
        <v>8868.61</v>
      </c>
    </row>
    <row r="6" spans="1:9" x14ac:dyDescent="0.25">
      <c r="A6" s="5"/>
      <c r="B6" s="5" t="s">
        <v>19</v>
      </c>
      <c r="C6" s="5" t="s">
        <v>119</v>
      </c>
      <c r="D6" s="30">
        <f>58.09*18*1.8</f>
        <v>1882.1160000000002</v>
      </c>
      <c r="F6" s="5" t="s">
        <v>315</v>
      </c>
      <c r="G6" s="5" t="s">
        <v>313</v>
      </c>
      <c r="H6" s="5">
        <v>1</v>
      </c>
      <c r="I6" s="5">
        <v>905.8</v>
      </c>
    </row>
    <row r="7" spans="1:9" x14ac:dyDescent="0.25">
      <c r="A7" s="5"/>
      <c r="B7" s="5" t="s">
        <v>63</v>
      </c>
      <c r="C7" s="5"/>
      <c r="D7" s="31">
        <f>D6*0.303</f>
        <v>570.28114800000003</v>
      </c>
      <c r="F7" s="5" t="s">
        <v>186</v>
      </c>
      <c r="G7" s="5"/>
      <c r="H7" s="5"/>
      <c r="I7" s="5">
        <v>6139.86</v>
      </c>
    </row>
    <row r="8" spans="1:9" ht="31.5" x14ac:dyDescent="0.25">
      <c r="A8" s="5"/>
      <c r="B8" s="5" t="s">
        <v>81</v>
      </c>
      <c r="C8" s="5"/>
      <c r="D8" s="30">
        <f>D9+D10+D11+D12+D13+D14</f>
        <v>1646.9</v>
      </c>
      <c r="F8" s="14" t="s">
        <v>299</v>
      </c>
      <c r="G8" s="29"/>
      <c r="H8" s="29"/>
      <c r="I8" s="7">
        <v>2318.4</v>
      </c>
    </row>
    <row r="9" spans="1:9" x14ac:dyDescent="0.25">
      <c r="A9" s="5"/>
      <c r="B9" s="16" t="s">
        <v>120</v>
      </c>
      <c r="C9" s="24" t="s">
        <v>121</v>
      </c>
      <c r="D9" s="39">
        <v>240</v>
      </c>
      <c r="F9" s="37"/>
      <c r="G9" s="35"/>
      <c r="H9" s="35"/>
      <c r="I9" s="35"/>
    </row>
    <row r="10" spans="1:9" x14ac:dyDescent="0.25">
      <c r="A10" s="5"/>
      <c r="B10" s="16" t="s">
        <v>122</v>
      </c>
      <c r="C10" s="24" t="s">
        <v>17</v>
      </c>
      <c r="D10" s="39">
        <v>156</v>
      </c>
      <c r="F10" s="35"/>
      <c r="G10" s="38"/>
      <c r="H10" s="33"/>
      <c r="I10" s="38"/>
    </row>
    <row r="11" spans="1:9" x14ac:dyDescent="0.25">
      <c r="A11" s="5"/>
      <c r="B11" s="16" t="s">
        <v>123</v>
      </c>
      <c r="C11" s="24" t="s">
        <v>17</v>
      </c>
      <c r="D11" s="39">
        <v>235.9</v>
      </c>
      <c r="F11" s="36"/>
      <c r="G11" s="33"/>
      <c r="H11" s="33"/>
      <c r="I11" s="38"/>
    </row>
    <row r="12" spans="1:9" x14ac:dyDescent="0.25">
      <c r="A12" s="5"/>
      <c r="B12" s="22" t="s">
        <v>124</v>
      </c>
      <c r="C12" s="24" t="s">
        <v>17</v>
      </c>
      <c r="D12" s="39">
        <v>80</v>
      </c>
    </row>
    <row r="13" spans="1:9" x14ac:dyDescent="0.25">
      <c r="A13" s="5"/>
      <c r="B13" s="22" t="s">
        <v>125</v>
      </c>
      <c r="C13" s="24" t="s">
        <v>48</v>
      </c>
      <c r="D13" s="39">
        <v>240</v>
      </c>
    </row>
    <row r="14" spans="1:9" x14ac:dyDescent="0.25">
      <c r="A14" s="5"/>
      <c r="B14" s="22" t="s">
        <v>126</v>
      </c>
      <c r="C14" s="24" t="s">
        <v>17</v>
      </c>
      <c r="D14" s="39">
        <v>695</v>
      </c>
    </row>
    <row r="15" spans="1:9" x14ac:dyDescent="0.25">
      <c r="A15" s="5"/>
      <c r="B15" s="5" t="s">
        <v>21</v>
      </c>
      <c r="C15" s="5"/>
      <c r="D15" s="31">
        <f>D6*0.421</f>
        <v>792.37083600000005</v>
      </c>
    </row>
    <row r="16" spans="1:9" x14ac:dyDescent="0.25">
      <c r="A16" s="5"/>
      <c r="B16" s="5" t="s">
        <v>127</v>
      </c>
      <c r="C16" s="5"/>
      <c r="D16" s="30">
        <f>(D6+D7+D8+D15)*0.15</f>
        <v>733.75019759999998</v>
      </c>
    </row>
    <row r="17" spans="1:4" ht="31.5" x14ac:dyDescent="0.25">
      <c r="A17" s="5" t="s">
        <v>23</v>
      </c>
      <c r="B17" s="14" t="s">
        <v>128</v>
      </c>
      <c r="C17" s="5"/>
      <c r="D17" s="31">
        <f>D18+D19+D20+D26+D27</f>
        <v>3758.9462120000003</v>
      </c>
    </row>
    <row r="18" spans="1:4" x14ac:dyDescent="0.25">
      <c r="A18" s="5"/>
      <c r="B18" s="5" t="s">
        <v>19</v>
      </c>
      <c r="C18" s="5" t="s">
        <v>129</v>
      </c>
      <c r="D18" s="30">
        <f>58.09*10*1.8</f>
        <v>1045.6200000000001</v>
      </c>
    </row>
    <row r="19" spans="1:4" x14ac:dyDescent="0.25">
      <c r="A19" s="5"/>
      <c r="B19" s="5" t="s">
        <v>63</v>
      </c>
      <c r="C19" s="5"/>
      <c r="D19" s="31">
        <f>D18*0.303</f>
        <v>316.82286000000005</v>
      </c>
    </row>
    <row r="20" spans="1:4" x14ac:dyDescent="0.25">
      <c r="A20" s="5"/>
      <c r="B20" s="5" t="s">
        <v>81</v>
      </c>
      <c r="C20" s="5"/>
      <c r="D20" s="30">
        <f>D21+D22+D23+D24+D25</f>
        <v>1466</v>
      </c>
    </row>
    <row r="21" spans="1:4" x14ac:dyDescent="0.25">
      <c r="A21" s="5"/>
      <c r="B21" s="22" t="s">
        <v>130</v>
      </c>
      <c r="C21" s="24" t="s">
        <v>131</v>
      </c>
      <c r="D21" s="39">
        <v>120</v>
      </c>
    </row>
    <row r="22" spans="1:4" x14ac:dyDescent="0.25">
      <c r="A22" s="5"/>
      <c r="B22" s="22" t="s">
        <v>132</v>
      </c>
      <c r="C22" s="24" t="s">
        <v>48</v>
      </c>
      <c r="D22" s="39">
        <v>340</v>
      </c>
    </row>
    <row r="23" spans="1:4" x14ac:dyDescent="0.25">
      <c r="A23" s="5"/>
      <c r="B23" s="22" t="s">
        <v>133</v>
      </c>
      <c r="C23" s="24" t="s">
        <v>48</v>
      </c>
      <c r="D23" s="39">
        <v>440</v>
      </c>
    </row>
    <row r="24" spans="1:4" x14ac:dyDescent="0.25">
      <c r="A24" s="5"/>
      <c r="B24" s="22" t="s">
        <v>134</v>
      </c>
      <c r="C24" s="24" t="s">
        <v>48</v>
      </c>
      <c r="D24" s="39">
        <v>196</v>
      </c>
    </row>
    <row r="25" spans="1:4" x14ac:dyDescent="0.25">
      <c r="A25" s="5"/>
      <c r="B25" s="22" t="s">
        <v>135</v>
      </c>
      <c r="C25" s="24" t="s">
        <v>48</v>
      </c>
      <c r="D25" s="39">
        <v>370</v>
      </c>
    </row>
    <row r="26" spans="1:4" x14ac:dyDescent="0.25">
      <c r="A26" s="5"/>
      <c r="B26" s="5" t="s">
        <v>21</v>
      </c>
      <c r="C26" s="5"/>
      <c r="D26" s="31">
        <f>D18*0.421</f>
        <v>440.20602000000002</v>
      </c>
    </row>
    <row r="27" spans="1:4" x14ac:dyDescent="0.25">
      <c r="A27" s="5"/>
      <c r="B27" s="5" t="s">
        <v>127</v>
      </c>
      <c r="C27" s="5"/>
      <c r="D27" s="31">
        <f>(D18+D19+D20+D26)*0.15</f>
        <v>490.29733199999998</v>
      </c>
    </row>
    <row r="28" spans="1:4" x14ac:dyDescent="0.25">
      <c r="A28" s="5" t="s">
        <v>34</v>
      </c>
      <c r="B28" s="5" t="s">
        <v>136</v>
      </c>
      <c r="C28" s="5"/>
      <c r="D28" s="31">
        <f>D29+D30+D31+D33+D34</f>
        <v>863.3504848</v>
      </c>
    </row>
    <row r="29" spans="1:4" x14ac:dyDescent="0.25">
      <c r="A29" s="5"/>
      <c r="B29" s="5" t="s">
        <v>19</v>
      </c>
      <c r="C29" s="5" t="s">
        <v>137</v>
      </c>
      <c r="D29" s="31">
        <f>58.09*4*1.8</f>
        <v>418.24800000000005</v>
      </c>
    </row>
    <row r="30" spans="1:4" x14ac:dyDescent="0.25">
      <c r="A30" s="5"/>
      <c r="B30" s="5" t="s">
        <v>63</v>
      </c>
      <c r="C30" s="5"/>
      <c r="D30" s="31">
        <f>D29*0.303</f>
        <v>126.72914400000001</v>
      </c>
    </row>
    <row r="31" spans="1:4" x14ac:dyDescent="0.25">
      <c r="A31" s="5"/>
      <c r="B31" s="5" t="s">
        <v>81</v>
      </c>
      <c r="C31" s="5"/>
      <c r="D31" s="30">
        <f>D32</f>
        <v>29.68</v>
      </c>
    </row>
    <row r="32" spans="1:4" x14ac:dyDescent="0.25">
      <c r="A32" s="5"/>
      <c r="B32" s="22" t="s">
        <v>138</v>
      </c>
      <c r="C32" s="23" t="s">
        <v>74</v>
      </c>
      <c r="D32" s="39">
        <v>29.68</v>
      </c>
    </row>
    <row r="33" spans="1:4" x14ac:dyDescent="0.25">
      <c r="A33" s="5"/>
      <c r="B33" s="5" t="s">
        <v>21</v>
      </c>
      <c r="C33" s="5"/>
      <c r="D33" s="31">
        <f>D29*0.421</f>
        <v>176.08240800000002</v>
      </c>
    </row>
    <row r="34" spans="1:4" x14ac:dyDescent="0.25">
      <c r="A34" s="5"/>
      <c r="B34" s="5" t="s">
        <v>127</v>
      </c>
      <c r="C34" s="5"/>
      <c r="D34" s="31">
        <f>(D29+D30+D31+D33)*0.15</f>
        <v>112.6109328</v>
      </c>
    </row>
    <row r="35" spans="1:4" x14ac:dyDescent="0.25">
      <c r="A35" s="5" t="s">
        <v>79</v>
      </c>
      <c r="B35" s="5" t="s">
        <v>97</v>
      </c>
      <c r="C35" s="5"/>
      <c r="D35" s="31">
        <f>D36+D37+D38+D40+D41</f>
        <v>709.8546212</v>
      </c>
    </row>
    <row r="36" spans="1:4" x14ac:dyDescent="0.25">
      <c r="A36" s="5"/>
      <c r="B36" s="5" t="s">
        <v>19</v>
      </c>
      <c r="C36" s="5" t="s">
        <v>110</v>
      </c>
      <c r="D36" s="31">
        <f>58.09*1.8</f>
        <v>104.56200000000001</v>
      </c>
    </row>
    <row r="37" spans="1:4" x14ac:dyDescent="0.25">
      <c r="A37" s="5"/>
      <c r="B37" s="5" t="s">
        <v>63</v>
      </c>
      <c r="C37" s="5"/>
      <c r="D37" s="31">
        <f>D36*0.303</f>
        <v>31.682286000000001</v>
      </c>
    </row>
    <row r="38" spans="1:4" x14ac:dyDescent="0.25">
      <c r="A38" s="5"/>
      <c r="B38" s="5" t="s">
        <v>81</v>
      </c>
      <c r="C38" s="5"/>
      <c r="D38" s="30">
        <f>D39</f>
        <v>437</v>
      </c>
    </row>
    <row r="39" spans="1:4" x14ac:dyDescent="0.25">
      <c r="A39" s="5"/>
      <c r="B39" s="5" t="s">
        <v>139</v>
      </c>
      <c r="C39" s="5" t="s">
        <v>17</v>
      </c>
      <c r="D39" s="30">
        <v>437</v>
      </c>
    </row>
    <row r="40" spans="1:4" x14ac:dyDescent="0.25">
      <c r="A40" s="5"/>
      <c r="B40" s="5" t="s">
        <v>21</v>
      </c>
      <c r="C40" s="5"/>
      <c r="D40" s="31">
        <f>D36*0.421</f>
        <v>44.020602000000004</v>
      </c>
    </row>
    <row r="41" spans="1:4" x14ac:dyDescent="0.25">
      <c r="A41" s="5"/>
      <c r="B41" s="5" t="s">
        <v>127</v>
      </c>
      <c r="C41" s="5"/>
      <c r="D41" s="31">
        <f>(D36+D37+D38+D40)*0.15</f>
        <v>92.589733199999998</v>
      </c>
    </row>
    <row r="42" spans="1:4" ht="31.5" x14ac:dyDescent="0.25">
      <c r="A42" s="5" t="s">
        <v>83</v>
      </c>
      <c r="B42" s="14" t="s">
        <v>140</v>
      </c>
      <c r="C42" s="5"/>
      <c r="D42" s="31">
        <f>D43+D44+D45+D46</f>
        <v>195.94918800000002</v>
      </c>
    </row>
    <row r="43" spans="1:4" x14ac:dyDescent="0.25">
      <c r="A43" s="5"/>
      <c r="B43" s="5" t="s">
        <v>19</v>
      </c>
      <c r="C43" s="5" t="s">
        <v>110</v>
      </c>
      <c r="D43" s="31">
        <f>58.09*1.8</f>
        <v>104.56200000000001</v>
      </c>
    </row>
    <row r="44" spans="1:4" x14ac:dyDescent="0.25">
      <c r="A44" s="5"/>
      <c r="B44" s="5" t="s">
        <v>63</v>
      </c>
      <c r="C44" s="5"/>
      <c r="D44" s="31">
        <f>D43*0.303</f>
        <v>31.682286000000001</v>
      </c>
    </row>
    <row r="45" spans="1:4" x14ac:dyDescent="0.25">
      <c r="A45" s="5"/>
      <c r="B45" s="5" t="s">
        <v>21</v>
      </c>
      <c r="C45" s="5"/>
      <c r="D45" s="31">
        <f>D43*0.421</f>
        <v>44.020602000000004</v>
      </c>
    </row>
    <row r="46" spans="1:4" x14ac:dyDescent="0.25">
      <c r="A46" s="5"/>
      <c r="B46" s="5" t="s">
        <v>127</v>
      </c>
      <c r="C46" s="5"/>
      <c r="D46" s="31">
        <f>D43*0.15</f>
        <v>15.6843</v>
      </c>
    </row>
    <row r="47" spans="1:4" x14ac:dyDescent="0.25">
      <c r="A47" s="5" t="s">
        <v>142</v>
      </c>
      <c r="B47" s="5" t="s">
        <v>141</v>
      </c>
      <c r="C47" s="5"/>
      <c r="D47" s="31">
        <f>D48+D49+D50+D53+D54</f>
        <v>5109.6554544000001</v>
      </c>
    </row>
    <row r="48" spans="1:4" x14ac:dyDescent="0.25">
      <c r="A48" s="5"/>
      <c r="B48" s="5" t="s">
        <v>19</v>
      </c>
      <c r="C48" s="5" t="s">
        <v>143</v>
      </c>
      <c r="D48" s="30">
        <f>58.09*12*1.8</f>
        <v>1254.7440000000001</v>
      </c>
    </row>
    <row r="49" spans="1:4" x14ac:dyDescent="0.25">
      <c r="A49" s="5"/>
      <c r="B49" s="5" t="s">
        <v>63</v>
      </c>
      <c r="C49" s="5"/>
      <c r="D49" s="31">
        <f>D48*0.303</f>
        <v>380.18743200000006</v>
      </c>
    </row>
    <row r="50" spans="1:4" x14ac:dyDescent="0.25">
      <c r="A50" s="5"/>
      <c r="B50" s="5" t="s">
        <v>81</v>
      </c>
      <c r="C50" s="5"/>
      <c r="D50" s="30">
        <f>D51+D52</f>
        <v>2280</v>
      </c>
    </row>
    <row r="51" spans="1:4" x14ac:dyDescent="0.25">
      <c r="A51" s="5"/>
      <c r="B51" s="5" t="s">
        <v>144</v>
      </c>
      <c r="C51" s="5" t="s">
        <v>145</v>
      </c>
      <c r="D51" s="30">
        <v>1760</v>
      </c>
    </row>
    <row r="52" spans="1:4" x14ac:dyDescent="0.25">
      <c r="A52" s="5"/>
      <c r="B52" s="5" t="s">
        <v>146</v>
      </c>
      <c r="C52" s="5" t="s">
        <v>147</v>
      </c>
      <c r="D52" s="30">
        <v>520</v>
      </c>
    </row>
    <row r="53" spans="1:4" x14ac:dyDescent="0.25">
      <c r="A53" s="5"/>
      <c r="B53" s="5" t="s">
        <v>21</v>
      </c>
      <c r="C53" s="5"/>
      <c r="D53" s="31">
        <f>D48*0.421</f>
        <v>528.24722400000007</v>
      </c>
    </row>
    <row r="54" spans="1:4" x14ac:dyDescent="0.25">
      <c r="A54" s="5"/>
      <c r="B54" s="5" t="s">
        <v>127</v>
      </c>
      <c r="C54" s="5"/>
      <c r="D54" s="31">
        <f>(D48+D49+D50+D53)*0.15</f>
        <v>666.47679840000001</v>
      </c>
    </row>
    <row r="55" spans="1:4" x14ac:dyDescent="0.25">
      <c r="A55" s="5" t="s">
        <v>149</v>
      </c>
      <c r="B55" s="5" t="s">
        <v>148</v>
      </c>
      <c r="C55" s="5"/>
      <c r="D55" s="31">
        <f>D56+D57+D58+D62+D63</f>
        <v>2197.7869696000002</v>
      </c>
    </row>
    <row r="56" spans="1:4" x14ac:dyDescent="0.25">
      <c r="A56" s="5"/>
      <c r="B56" s="5" t="s">
        <v>19</v>
      </c>
      <c r="C56" s="5" t="s">
        <v>150</v>
      </c>
      <c r="D56" s="31">
        <f>58.09*8*1.8</f>
        <v>836.49600000000009</v>
      </c>
    </row>
    <row r="57" spans="1:4" x14ac:dyDescent="0.25">
      <c r="A57" s="5"/>
      <c r="B57" s="5" t="s">
        <v>63</v>
      </c>
      <c r="C57" s="5"/>
      <c r="D57" s="31">
        <f>D56*0.303</f>
        <v>253.45828800000001</v>
      </c>
    </row>
    <row r="58" spans="1:4" x14ac:dyDescent="0.25">
      <c r="A58" s="5"/>
      <c r="B58" s="5" t="s">
        <v>81</v>
      </c>
      <c r="C58" s="5"/>
      <c r="D58" s="30">
        <f>D59+D60+D61</f>
        <v>469</v>
      </c>
    </row>
    <row r="59" spans="1:4" x14ac:dyDescent="0.25">
      <c r="A59" s="5"/>
      <c r="B59" s="5" t="s">
        <v>151</v>
      </c>
      <c r="C59" s="5" t="s">
        <v>17</v>
      </c>
      <c r="D59" s="30">
        <v>135</v>
      </c>
    </row>
    <row r="60" spans="1:4" x14ac:dyDescent="0.25">
      <c r="A60" s="5"/>
      <c r="B60" s="5" t="s">
        <v>152</v>
      </c>
      <c r="C60" s="5" t="s">
        <v>42</v>
      </c>
      <c r="D60" s="30">
        <v>104</v>
      </c>
    </row>
    <row r="61" spans="1:4" x14ac:dyDescent="0.25">
      <c r="A61" s="5"/>
      <c r="B61" s="5" t="s">
        <v>153</v>
      </c>
      <c r="C61" s="5" t="s">
        <v>42</v>
      </c>
      <c r="D61" s="30">
        <v>230</v>
      </c>
    </row>
    <row r="62" spans="1:4" x14ac:dyDescent="0.25">
      <c r="A62" s="5"/>
      <c r="B62" s="5" t="s">
        <v>21</v>
      </c>
      <c r="C62" s="5"/>
      <c r="D62" s="31">
        <f>D56*0.421</f>
        <v>352.16481600000003</v>
      </c>
    </row>
    <row r="63" spans="1:4" x14ac:dyDescent="0.25">
      <c r="A63" s="5"/>
      <c r="B63" s="5" t="s">
        <v>127</v>
      </c>
      <c r="C63" s="5"/>
      <c r="D63" s="31">
        <f>(D56+D57+D58+D62)*0.15</f>
        <v>286.66786560000003</v>
      </c>
    </row>
    <row r="64" spans="1:4" x14ac:dyDescent="0.25">
      <c r="A64" s="5"/>
      <c r="B64" s="5"/>
      <c r="C64" s="5"/>
      <c r="D64" s="30"/>
    </row>
    <row r="65" spans="1:4" x14ac:dyDescent="0.25">
      <c r="A65" s="5"/>
      <c r="B65" s="16" t="s">
        <v>154</v>
      </c>
      <c r="C65" s="5"/>
      <c r="D65" s="30">
        <v>4766.97</v>
      </c>
    </row>
    <row r="66" spans="1:4" s="15" customFormat="1" x14ac:dyDescent="0.25">
      <c r="A66" s="5"/>
      <c r="B66" s="5" t="s">
        <v>216</v>
      </c>
      <c r="C66" s="5"/>
      <c r="D66" s="30">
        <f>D65*0.12</f>
        <v>572.03639999999996</v>
      </c>
    </row>
    <row r="67" spans="1:4" s="15" customFormat="1" x14ac:dyDescent="0.25">
      <c r="A67" s="5"/>
      <c r="B67" s="16" t="s">
        <v>127</v>
      </c>
      <c r="C67" s="5"/>
      <c r="D67" s="30">
        <f>(D65+D66)*0.15</f>
        <v>800.85095999999999</v>
      </c>
    </row>
    <row r="68" spans="1:4" s="15" customFormat="1" x14ac:dyDescent="0.25">
      <c r="A68" s="5"/>
      <c r="B68" s="16" t="s">
        <v>10</v>
      </c>
      <c r="C68" s="5"/>
      <c r="D68" s="30">
        <f>SUM(D65:D67)</f>
        <v>6139.85736</v>
      </c>
    </row>
    <row r="69" spans="1:4" s="15" customFormat="1" ht="31.5" x14ac:dyDescent="0.25">
      <c r="A69" s="5"/>
      <c r="B69" s="14" t="s">
        <v>299</v>
      </c>
      <c r="C69" s="5"/>
      <c r="D69" s="30">
        <v>1800</v>
      </c>
    </row>
    <row r="70" spans="1:4" s="15" customFormat="1" x14ac:dyDescent="0.25">
      <c r="A70" s="5"/>
      <c r="B70" s="5" t="s">
        <v>216</v>
      </c>
      <c r="C70" s="5"/>
      <c r="D70" s="30">
        <f>D69*0.12</f>
        <v>216</v>
      </c>
    </row>
    <row r="71" spans="1:4" s="15" customFormat="1" x14ac:dyDescent="0.25">
      <c r="A71" s="5"/>
      <c r="B71" s="16" t="s">
        <v>127</v>
      </c>
      <c r="C71" s="5"/>
      <c r="D71" s="30">
        <f>(D69+D70)*0.15</f>
        <v>302.39999999999998</v>
      </c>
    </row>
    <row r="72" spans="1:4" x14ac:dyDescent="0.25">
      <c r="A72" s="5"/>
      <c r="B72" s="16" t="s">
        <v>10</v>
      </c>
      <c r="C72" s="5"/>
      <c r="D72" s="30">
        <f>SUM(D69:D71)</f>
        <v>2318.4</v>
      </c>
    </row>
    <row r="73" spans="1:4" x14ac:dyDescent="0.25">
      <c r="A73" s="5"/>
      <c r="B73" s="5" t="s">
        <v>60</v>
      </c>
      <c r="C73" s="5"/>
      <c r="D73" s="31">
        <f>D4+D72+D68</f>
        <v>26919.218471600005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3" sqref="A13:XFD13"/>
    </sheetView>
  </sheetViews>
  <sheetFormatPr defaultRowHeight="15" x14ac:dyDescent="0.25"/>
  <cols>
    <col min="1" max="1" width="35.140625" customWidth="1"/>
    <col min="2" max="2" width="12.42578125" customWidth="1"/>
    <col min="3" max="3" width="13.42578125" customWidth="1"/>
    <col min="4" max="4" width="13.85546875" customWidth="1"/>
    <col min="5" max="5" width="16.28515625" customWidth="1"/>
    <col min="6" max="6" width="14.5703125" customWidth="1"/>
    <col min="7" max="7" width="15.140625" customWidth="1"/>
  </cols>
  <sheetData>
    <row r="1" spans="1:7" ht="15.75" x14ac:dyDescent="0.25">
      <c r="A1" s="42" t="s">
        <v>185</v>
      </c>
      <c r="B1" s="42"/>
      <c r="C1" s="42"/>
      <c r="D1" s="42"/>
      <c r="E1" s="42"/>
      <c r="F1" s="42"/>
      <c r="G1" s="42"/>
    </row>
    <row r="3" spans="1:7" ht="30" x14ac:dyDescent="0.25">
      <c r="A3" s="16" t="s">
        <v>0</v>
      </c>
      <c r="B3" s="16">
        <v>2064.7199999999998</v>
      </c>
      <c r="C3" s="11" t="s">
        <v>1</v>
      </c>
      <c r="D3" s="11" t="s">
        <v>189</v>
      </c>
      <c r="E3" s="11" t="s">
        <v>218</v>
      </c>
      <c r="F3" s="11" t="s">
        <v>191</v>
      </c>
      <c r="G3" s="11" t="s">
        <v>208</v>
      </c>
    </row>
    <row r="4" spans="1:7" x14ac:dyDescent="0.25">
      <c r="A4" s="16" t="s">
        <v>2</v>
      </c>
      <c r="B4" s="16">
        <v>2.87</v>
      </c>
      <c r="C4" s="16"/>
      <c r="D4" s="16"/>
      <c r="E4" s="17"/>
      <c r="F4" s="17">
        <f>B4*B3*12</f>
        <v>71108.9568</v>
      </c>
      <c r="G4" s="16"/>
    </row>
    <row r="5" spans="1:7" x14ac:dyDescent="0.25">
      <c r="A5" s="16" t="s">
        <v>3</v>
      </c>
      <c r="B5" s="16">
        <v>3.55</v>
      </c>
      <c r="C5" s="16"/>
      <c r="D5" s="16"/>
      <c r="E5" s="17"/>
      <c r="F5" s="17">
        <v>57985.34</v>
      </c>
      <c r="G5" s="16"/>
    </row>
    <row r="6" spans="1:7" x14ac:dyDescent="0.25">
      <c r="A6" s="16" t="s">
        <v>4</v>
      </c>
      <c r="B6" s="16">
        <v>4.9800000000000004</v>
      </c>
      <c r="C6" s="16"/>
      <c r="D6" s="16"/>
      <c r="E6" s="17"/>
      <c r="F6" s="17">
        <f>B6*B3*12</f>
        <v>123387.6672</v>
      </c>
      <c r="G6" s="16"/>
    </row>
    <row r="7" spans="1:7" x14ac:dyDescent="0.25">
      <c r="A7" s="16" t="s">
        <v>5</v>
      </c>
      <c r="B7" s="16"/>
      <c r="C7" s="16"/>
      <c r="D7" s="16">
        <v>272075.74</v>
      </c>
      <c r="E7" s="17">
        <v>247336.63</v>
      </c>
      <c r="F7" s="17"/>
      <c r="G7" s="16"/>
    </row>
    <row r="8" spans="1:7" x14ac:dyDescent="0.25">
      <c r="A8" s="16" t="s">
        <v>59</v>
      </c>
      <c r="B8" s="16"/>
      <c r="C8" s="16"/>
      <c r="D8" s="16">
        <v>9546.4699999999993</v>
      </c>
      <c r="E8" s="17">
        <v>7705.44</v>
      </c>
      <c r="F8" s="17">
        <f>D8</f>
        <v>9546.4699999999993</v>
      </c>
      <c r="G8" s="16"/>
    </row>
    <row r="9" spans="1:7" x14ac:dyDescent="0.25">
      <c r="A9" s="16" t="s">
        <v>6</v>
      </c>
      <c r="B9" s="16"/>
      <c r="C9" s="16"/>
      <c r="D9" s="16">
        <v>955.05</v>
      </c>
      <c r="E9" s="17">
        <v>768.01</v>
      </c>
      <c r="F9" s="17">
        <f>D9</f>
        <v>955.05</v>
      </c>
      <c r="G9" s="16"/>
    </row>
    <row r="10" spans="1:7" ht="30" x14ac:dyDescent="0.25">
      <c r="A10" s="11" t="s">
        <v>7</v>
      </c>
      <c r="B10" s="16"/>
      <c r="C10" s="16">
        <v>500</v>
      </c>
      <c r="D10" s="16">
        <v>1200</v>
      </c>
      <c r="E10" s="17">
        <v>1600</v>
      </c>
      <c r="F10" s="17"/>
      <c r="G10" s="16"/>
    </row>
    <row r="11" spans="1:7" x14ac:dyDescent="0.25">
      <c r="A11" s="16" t="s">
        <v>9</v>
      </c>
      <c r="B11" s="16"/>
      <c r="C11" s="16"/>
      <c r="D11" s="16"/>
      <c r="E11" s="17"/>
      <c r="F11" s="17"/>
      <c r="G11" s="16"/>
    </row>
    <row r="12" spans="1:7" x14ac:dyDescent="0.25">
      <c r="A12" s="16" t="s">
        <v>10</v>
      </c>
      <c r="B12" s="16"/>
      <c r="C12" s="16">
        <v>-15583.26</v>
      </c>
      <c r="D12" s="16">
        <f>SUM(D7:D11)</f>
        <v>283777.25999999995</v>
      </c>
      <c r="E12" s="16">
        <f>SUM(E7:E11)</f>
        <v>257410.08000000002</v>
      </c>
      <c r="F12" s="17">
        <f>SUM(F4:F11)</f>
        <v>262983.484</v>
      </c>
      <c r="G12" s="17">
        <f>C12+E12-F12</f>
        <v>-21156.66399999999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Мира 39</vt:lpstr>
      <vt:lpstr>Мира 39 расшифр</vt:lpstr>
      <vt:lpstr>К.М.16</vt:lpstr>
      <vt:lpstr>К.М.16 расшифр</vt:lpstr>
      <vt:lpstr>К.М.18</vt:lpstr>
      <vt:lpstr>К.М.18 расшифр</vt:lpstr>
      <vt:lpstr>К.М.20</vt:lpstr>
      <vt:lpstr>К.М.20 расшифр</vt:lpstr>
      <vt:lpstr>К.М.21</vt:lpstr>
      <vt:lpstr>К.М.21 расшифр</vt:lpstr>
      <vt:lpstr>21 пс</vt:lpstr>
      <vt:lpstr>21 пс расшифр</vt:lpstr>
      <vt:lpstr>К.М.26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2017-11-15T05:44:21Z</cp:lastPrinted>
  <dcterms:created xsi:type="dcterms:W3CDTF">2017-11-13T10:17:58Z</dcterms:created>
  <dcterms:modified xsi:type="dcterms:W3CDTF">2018-03-14T06:51:28Z</dcterms:modified>
</cp:coreProperties>
</file>